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 Studiengangleitung\Studienablauf\Beurteilungsbogen Studienarbeiten\"/>
    </mc:Choice>
  </mc:AlternateContent>
  <workbookProtection workbookAlgorithmName="SHA-512" workbookHashValue="xgeNz7c7CeaWcPj+EwB10rEhFAh0KvpYIhCS/8q8asNsAJHrTQx1bk2m84ygX9cZAa8NlYLsvb++ivouaLf/rw==" workbookSaltValue="LaG8GO6t+K3Gz4a0k87v2Q==" workbookSpinCount="100000" lockStructure="1"/>
  <bookViews>
    <workbookView xWindow="13956" yWindow="-12" windowWidth="13992" windowHeight="12480" autoFilterDateGrouping="0"/>
  </bookViews>
  <sheets>
    <sheet name="Beurteilung" sheetId="1" r:id="rId1"/>
    <sheet name="Texte und Punkte" sheetId="5" state="hidden" r:id="rId2"/>
    <sheet name="Daten und Berechnung" sheetId="3" state="hidden" r:id="rId3"/>
    <sheet name="Versionshistorie" sheetId="6" state="hidden" r:id="rId4"/>
  </sheets>
  <definedNames>
    <definedName name="Abstufung">'Daten und Berechnung'!$H$3:$H$5</definedName>
    <definedName name="Anz_Krit">'Daten und Berechnung'!$K$6</definedName>
    <definedName name="Berechnung">'Daten und Berechnung'!$1:$1048576</definedName>
    <definedName name="Beurteilung">Beurteilung!$1:$1048576</definedName>
    <definedName name="Bewertungskriterium" localSheetId="1">'Texte und Punkte'!$B$2</definedName>
    <definedName name="Bewertungstyp">'Daten und Berechnung'!$K$12</definedName>
    <definedName name="Copy">Beurteilung!$B$41</definedName>
    <definedName name="Dateidatum">Versionshistorie!$B$5</definedName>
    <definedName name="Dateiname">'Daten und Berechnung'!$K$3</definedName>
    <definedName name="Dateiversion">'Daten und Berechnung'!$K$14</definedName>
    <definedName name="Daten" localSheetId="1">'Texte und Punkte'!$1:$1048576</definedName>
    <definedName name="_xlnm.Print_Area" localSheetId="0">Beurteilung!$B$2:$L$41</definedName>
    <definedName name="_xlnm.Print_Area" localSheetId="1">'Texte und Punkte'!$B$2:$U$35</definedName>
    <definedName name="Endnote_Gutachten">'Daten und Berechnung'!$C$14</definedName>
    <definedName name="Endzeile">'Daten und Berechnung'!$K$9</definedName>
    <definedName name="Gutachter">Beurteilung!$D$10</definedName>
    <definedName name="Korr">'Daten und Berechnung'!$C$11</definedName>
    <definedName name="Korr_Dezimal">'Daten und Berechnung'!$O$13</definedName>
    <definedName name="Korr_m1">'Daten und Berechnung'!$O$15</definedName>
    <definedName name="Korr_p1">'Daten und Berechnung'!$O$16</definedName>
    <definedName name="Korr0">'Daten und Berechnung'!$O$14</definedName>
    <definedName name="Korrektursymbole">'Daten und Berechnung'!$N$14:$N$16</definedName>
    <definedName name="Kriterien">Beurteilung!$C$19</definedName>
    <definedName name="Kriterien_Ende">'Texte und Punkte'!$B$35</definedName>
    <definedName name="Kriterium1">'Texte und Punkte'!$B$5</definedName>
    <definedName name="Kriterium2">'Texte und Punkte'!$B$10</definedName>
    <definedName name="Kriterium3">'Texte und Punkte'!$B$15</definedName>
    <definedName name="Kriterium4">'Texte und Punkte'!$B$20</definedName>
    <definedName name="Kriterium5">'Texte und Punkte'!$B$25</definedName>
    <definedName name="Kriterium6">'Texte und Punkte'!$B$30</definedName>
    <definedName name="Kurs">Beurteilung!$G$6</definedName>
    <definedName name="Liste_035">'Daten und Berechnung'!$O$4:$O$10</definedName>
    <definedName name="Liste_Arbeitstypen">'Daten und Berechnung'!$N$4:$N$10</definedName>
    <definedName name="Liste_Notengrenzen">'Daten und Berechnung'!$E$3:$F$14</definedName>
    <definedName name="Matrikel">Beurteilung!$G$8</definedName>
    <definedName name="Max_Notenzeilen">'Daten und Berechnung'!$K$11</definedName>
    <definedName name="Name">Beurteilung!$D$6</definedName>
    <definedName name="Notenformel">'Daten und Berechnung'!$C$10</definedName>
    <definedName name="Notenformel_037">'Daten und Berechnung'!$C$9</definedName>
    <definedName name="Notenformel_Dezimal">'Daten und Berechnung'!$C$8</definedName>
    <definedName name="Notenkorrektur">Beurteilung!$K$10</definedName>
    <definedName name="Notenliste">'Daten und Berechnung'!$F$3:$F$14</definedName>
    <definedName name="Notenvorschlag">'Daten und Berechnung'!$C$10</definedName>
    <definedName name="Notenzeile">'Daten und Berechnung'!$K$10</definedName>
    <definedName name="P_akt">'Daten und Berechnung'!$C$6</definedName>
    <definedName name="P_Krit">'Daten und Berechnung'!$K$13</definedName>
    <definedName name="P_max">'Daten und Berechnung'!$K$7</definedName>
    <definedName name="P_proz">'Daten und Berechnung'!$C$7</definedName>
    <definedName name="P_Summe">'Texte und Punkte'!$C$35</definedName>
    <definedName name="Sp_Wichtung">Beurteilung!$J$17</definedName>
    <definedName name="Stufe_1">'Daten und Berechnung'!$H$3</definedName>
    <definedName name="Stufe_2">'Daten und Berechnung'!$H$4</definedName>
    <definedName name="Stufe_3">'Daten und Berechnung'!$H$5</definedName>
    <definedName name="Tab_Bewertungstyp">'Daten und Berechnung'!$N$2</definedName>
    <definedName name="Tab_Notengrenzen">'Daten und Berechnung'!$E$2</definedName>
    <definedName name="Tab_Notenkorrektur">'Daten und Berechnung'!$N$12</definedName>
    <definedName name="Titel">Beurteilung!$D$14</definedName>
    <definedName name="Typ_der_Arbeit">Beurteilung!$G$10</definedName>
    <definedName name="Typnummer_Arbeit">'Daten und Berechnung'!$K$8</definedName>
    <definedName name="Untergrenze">'Daten und Berechnung'!#REF!,'Daten und Berechnung'!$E$5,'Daten und Berechnung'!$E$7,'Daten und Berechnung'!$E$10,'Daten und Berechnung'!$E$14</definedName>
    <definedName name="Vorname">Beurteilung!$D$8</definedName>
    <definedName name="Z_F624DE42_7366_4D05_A22F_FFE42B7DDA87_.wvu.PrintArea" localSheetId="0" hidden="1">Beurteilung!$B$2:$S$41</definedName>
  </definedNames>
  <calcPr calcId="162913"/>
  <customWorkbookViews>
    <customWorkbookView name="Normalansicht" guid="{F624DE42-7366-4D05-A22F-FFE42B7DDA87}" maximized="1" windowWidth="1828" windowHeight="1062" activeSheetId="1"/>
  </customWorkbookViews>
</workbook>
</file>

<file path=xl/calcChain.xml><?xml version="1.0" encoding="utf-8"?>
<calcChain xmlns="http://schemas.openxmlformats.org/spreadsheetml/2006/main">
  <c r="K12" i="1" l="1"/>
  <c r="P38" i="5" l="1"/>
  <c r="Q38" i="5"/>
  <c r="R38" i="5"/>
  <c r="S38" i="5"/>
  <c r="T38" i="5"/>
  <c r="U38" i="5"/>
  <c r="O38" i="5"/>
  <c r="S3" i="5" l="1"/>
  <c r="R3" i="5"/>
  <c r="Q3" i="5"/>
  <c r="K4" i="3" l="1"/>
  <c r="K11" i="3" l="1"/>
  <c r="K5" i="3" l="1"/>
  <c r="C11" i="3" l="1"/>
  <c r="K8" i="3"/>
  <c r="U3" i="5"/>
  <c r="O4" i="5"/>
  <c r="T3" i="5"/>
  <c r="P3" i="5"/>
  <c r="O3" i="5"/>
  <c r="E37" i="1" l="1"/>
  <c r="K12" i="3"/>
  <c r="J12" i="1" s="1"/>
  <c r="L8" i="3"/>
  <c r="F6" i="5"/>
  <c r="F7" i="5"/>
  <c r="F8" i="5"/>
  <c r="F9" i="5"/>
  <c r="F10" i="5"/>
  <c r="E10" i="5" s="1"/>
  <c r="F11" i="5"/>
  <c r="F12" i="5"/>
  <c r="F13" i="5"/>
  <c r="F14" i="5"/>
  <c r="F15" i="5"/>
  <c r="F16" i="5"/>
  <c r="F17" i="5"/>
  <c r="F18" i="5"/>
  <c r="F19" i="5"/>
  <c r="F20" i="5"/>
  <c r="E20" i="5" s="1"/>
  <c r="F21" i="5"/>
  <c r="F22" i="5"/>
  <c r="F23" i="5"/>
  <c r="F24" i="5"/>
  <c r="F25" i="5"/>
  <c r="F26" i="5"/>
  <c r="F27" i="5"/>
  <c r="F28" i="5"/>
  <c r="F29" i="5"/>
  <c r="F30" i="5"/>
  <c r="E30" i="5" s="1"/>
  <c r="F31" i="5"/>
  <c r="F32" i="5"/>
  <c r="F33" i="5"/>
  <c r="F34" i="5"/>
  <c r="F5" i="5"/>
  <c r="E5" i="5" s="1"/>
  <c r="E15" i="5" l="1"/>
  <c r="E25" i="5"/>
  <c r="E12" i="3" l="1"/>
  <c r="E11" i="3"/>
  <c r="E10" i="3"/>
  <c r="E8" i="3"/>
  <c r="E7" i="3"/>
  <c r="E6" i="3"/>
  <c r="G30" i="5" l="1"/>
  <c r="G25" i="5"/>
  <c r="G20" i="5"/>
  <c r="G15" i="5"/>
  <c r="G10" i="5"/>
  <c r="G5" i="5"/>
  <c r="J32" i="5" l="1"/>
  <c r="J27" i="5"/>
  <c r="J22" i="5"/>
  <c r="J17" i="5"/>
  <c r="J12" i="5"/>
  <c r="J7" i="5"/>
  <c r="J8" i="5"/>
  <c r="J9" i="5"/>
  <c r="J6" i="5"/>
  <c r="K9" i="3" l="1"/>
  <c r="K3" i="3"/>
  <c r="C41" i="1" s="1"/>
  <c r="F19" i="1" l="1"/>
  <c r="F25" i="1"/>
  <c r="F22" i="1"/>
  <c r="F34" i="1"/>
  <c r="F31" i="1"/>
  <c r="F28" i="1"/>
  <c r="M8" i="5"/>
  <c r="M9" i="5"/>
  <c r="J10" i="5"/>
  <c r="J11" i="5"/>
  <c r="M11" i="5" s="1"/>
  <c r="J13" i="5"/>
  <c r="M13" i="5" s="1"/>
  <c r="J14" i="5"/>
  <c r="M14" i="5" s="1"/>
  <c r="J15" i="5"/>
  <c r="J16" i="5"/>
  <c r="M16" i="5" s="1"/>
  <c r="J18" i="5"/>
  <c r="M18" i="5" s="1"/>
  <c r="J19" i="5"/>
  <c r="M19" i="5" s="1"/>
  <c r="J20" i="5"/>
  <c r="J21" i="5"/>
  <c r="M21" i="5" s="1"/>
  <c r="J23" i="5"/>
  <c r="M23" i="5" s="1"/>
  <c r="J24" i="5"/>
  <c r="M24" i="5" s="1"/>
  <c r="J25" i="5"/>
  <c r="J26" i="5"/>
  <c r="M26" i="5" s="1"/>
  <c r="J28" i="5"/>
  <c r="M28" i="5" s="1"/>
  <c r="J29" i="5"/>
  <c r="M29" i="5" s="1"/>
  <c r="J30" i="5"/>
  <c r="K30" i="5" s="1"/>
  <c r="J31" i="5"/>
  <c r="M31" i="5" s="1"/>
  <c r="J33" i="5"/>
  <c r="M33" i="5" s="1"/>
  <c r="J34" i="5"/>
  <c r="M34" i="5" s="1"/>
  <c r="J5" i="5"/>
  <c r="K5" i="5" s="1"/>
  <c r="K10" i="5" l="1"/>
  <c r="K11" i="5" s="1"/>
  <c r="K14" i="5" s="1"/>
  <c r="K6" i="3"/>
  <c r="K7" i="3" s="1"/>
  <c r="G13" i="6" s="1"/>
  <c r="K6" i="5"/>
  <c r="K31" i="5"/>
  <c r="M20" i="5"/>
  <c r="N20" i="5" s="1"/>
  <c r="M6" i="5"/>
  <c r="K25" i="5"/>
  <c r="K26" i="5" s="1"/>
  <c r="K20" i="5"/>
  <c r="K21" i="5" s="1"/>
  <c r="K15" i="5"/>
  <c r="K16" i="5" s="1"/>
  <c r="M25" i="5"/>
  <c r="N25" i="5" s="1"/>
  <c r="M5" i="5"/>
  <c r="N5" i="5" s="1"/>
  <c r="M30" i="5"/>
  <c r="N30" i="5" s="1"/>
  <c r="M10" i="5"/>
  <c r="N10" i="5" s="1"/>
  <c r="M15" i="5"/>
  <c r="N15" i="5" s="1"/>
  <c r="D30" i="5" l="1"/>
  <c r="C30" i="5" s="1"/>
  <c r="D25" i="5"/>
  <c r="C25" i="5" s="1"/>
  <c r="D20" i="5"/>
  <c r="C20" i="5" s="1"/>
  <c r="D15" i="5"/>
  <c r="C15" i="5" s="1"/>
  <c r="D10" i="5"/>
  <c r="C10" i="5" s="1"/>
  <c r="C34" i="1"/>
  <c r="C31" i="1"/>
  <c r="C28" i="1"/>
  <c r="C25" i="1"/>
  <c r="C22" i="1"/>
  <c r="D5" i="5"/>
  <c r="C5" i="5" l="1"/>
  <c r="L15" i="5"/>
  <c r="L16" i="5" s="1"/>
  <c r="L20" i="5"/>
  <c r="L21" i="5" s="1"/>
  <c r="L10" i="5"/>
  <c r="L11" i="5" s="1"/>
  <c r="L5" i="5"/>
  <c r="L6" i="5" s="1"/>
  <c r="L30" i="5"/>
  <c r="L31" i="5" s="1"/>
  <c r="L32" i="5" s="1"/>
  <c r="L33" i="5" s="1"/>
  <c r="L34" i="5" s="1"/>
  <c r="L25" i="5"/>
  <c r="L26" i="5" s="1"/>
  <c r="C19" i="1"/>
  <c r="C35" i="5" l="1"/>
  <c r="C4" i="3" s="1"/>
  <c r="L8" i="5"/>
  <c r="L9" i="5" s="1"/>
  <c r="L7" i="5"/>
  <c r="L13" i="5"/>
  <c r="L14" i="5" s="1"/>
  <c r="L12" i="5"/>
  <c r="L18" i="5"/>
  <c r="L19" i="5" s="1"/>
  <c r="L17" i="5"/>
  <c r="L28" i="5"/>
  <c r="L29" i="5" s="1"/>
  <c r="L27" i="5"/>
  <c r="L23" i="5"/>
  <c r="L24" i="5" s="1"/>
  <c r="L22" i="5"/>
  <c r="C3" i="3"/>
  <c r="C8" i="3" l="1"/>
  <c r="C5" i="3"/>
  <c r="C6" i="3"/>
  <c r="C7" i="3" l="1"/>
  <c r="K6" i="1" s="1"/>
  <c r="C9" i="3" l="1"/>
  <c r="K10" i="3" l="1"/>
  <c r="C13" i="3" s="1"/>
  <c r="C10" i="3"/>
  <c r="C12" i="3" s="1"/>
  <c r="C14" i="3" l="1"/>
  <c r="J13" i="1" s="1"/>
  <c r="K8" i="1"/>
</calcChain>
</file>

<file path=xl/comments1.xml><?xml version="1.0" encoding="utf-8"?>
<comments xmlns="http://schemas.openxmlformats.org/spreadsheetml/2006/main">
  <authors>
    <author>Jens Franeck</author>
  </authors>
  <commentList>
    <comment ref="J6" authorId="0" shapeId="0">
      <text>
        <r>
          <rPr>
            <sz val="11"/>
            <color indexed="81"/>
            <rFont val="Tahoma"/>
            <family val="2"/>
          </rPr>
          <t>Erreichter Prozentwert aller Antworten</t>
        </r>
      </text>
    </comment>
    <comment ref="J8" authorId="0" shapeId="0">
      <text>
        <r>
          <rPr>
            <sz val="11"/>
            <color indexed="81"/>
            <rFont val="Tahoma"/>
            <family val="2"/>
          </rPr>
          <t xml:space="preserve">Note aus Prozentwert gemäß Notenformel </t>
        </r>
      </text>
    </comment>
    <comment ref="F10" authorId="0" shapeId="0">
      <text>
        <r>
          <rPr>
            <sz val="11"/>
            <color indexed="81"/>
            <rFont val="Tahoma"/>
            <family val="2"/>
          </rPr>
          <t>Bitte wählen Sie den Typ der Arbeit
aus der Liste aus. Entsprechend dieser
Auswahl werden wird die Wichtung der
einzelnen Kriterien angepasst.</t>
        </r>
      </text>
    </comment>
    <comment ref="J10" authorId="0" shapeId="0">
      <text>
        <r>
          <rPr>
            <sz val="11"/>
            <color indexed="81"/>
            <rFont val="Tahoma"/>
            <family val="2"/>
          </rPr>
          <t>Hier kann die als Vorschlag ermittelte
Note noch um eine Stufe verbessert (↘) oder verschlechtert (↗) werden.
(Abstufung: Je nach Bewertungsart ist eine Änderung um +/-0,3 oder zwischen den Zahlen 0, 3 oder 7 als erste Kommastelle möglich.)
Wenn hier korrigiert wird, dann geben Sie bitte unten in den Anmerkungen eine kurze Begründung dafür an.</t>
        </r>
      </text>
    </comment>
    <comment ref="J12" authorId="0" shapeId="0">
      <text>
        <r>
          <rPr>
            <sz val="11"/>
            <color indexed="81"/>
            <rFont val="Tahoma"/>
            <family val="2"/>
          </rPr>
          <t xml:space="preserve">Mit Ausnahme der Bachelorarbeit befindet sich rechts noch das Feld zur Bestätigung der erteilten Note durch die Studienakademie (StA) </t>
        </r>
      </text>
    </comment>
    <comment ref="C17" authorId="0" shapeId="0">
      <text>
        <r>
          <rPr>
            <sz val="11"/>
            <color indexed="81"/>
            <rFont val="Tahoma"/>
            <family val="2"/>
          </rPr>
          <t xml:space="preserve">Wählen Sie </t>
        </r>
        <r>
          <rPr>
            <b/>
            <sz val="11"/>
            <color indexed="81"/>
            <rFont val="Tahoma"/>
            <family val="2"/>
          </rPr>
          <t>als Erstes</t>
        </r>
        <r>
          <rPr>
            <sz val="11"/>
            <color indexed="81"/>
            <rFont val="Tahoma"/>
            <family val="2"/>
          </rPr>
          <t xml:space="preserve"> aus der Dropdownliste eine Leistungsstufe ① anhand der Bewertungstexte aus.
Klicken Sie dazu auf die unten stehenden Felder und dann auf das am rechten unteren Feldrand erscheinende Dropdown-Symbol [˅]. 
Fahren Sie anschließend mit der Ausprägung ② fort ...</t>
        </r>
      </text>
    </comment>
    <comment ref="F17" authorId="0" shapeId="0">
      <text>
        <r>
          <rPr>
            <sz val="11"/>
            <color indexed="81"/>
            <rFont val="Tahoma"/>
            <family val="2"/>
          </rPr>
          <t>Anteil dieses Kriteriums
am Gesamtergebnis</t>
        </r>
      </text>
    </comment>
    <comment ref="J17" authorId="0" shapeId="0">
      <text>
        <r>
          <rPr>
            <sz val="11"/>
            <color indexed="81"/>
            <rFont val="Tahoma"/>
            <family val="2"/>
          </rPr>
          <t xml:space="preserve">Klicken Sie nach der Auswahl der Leistungsstufe unter ① </t>
        </r>
        <r>
          <rPr>
            <b/>
            <sz val="11"/>
            <color indexed="81"/>
            <rFont val="Tahoma"/>
            <family val="2"/>
          </rPr>
          <t>als Zweites</t>
        </r>
        <r>
          <rPr>
            <sz val="11"/>
            <color indexed="81"/>
            <rFont val="Tahoma"/>
            <family val="2"/>
          </rPr>
          <t xml:space="preserve"> auf die weißen Felder der Ausprägung ② und dann auf das erscheinende Dropdown-Symbol </t>
        </r>
        <r>
          <rPr>
            <sz val="9"/>
            <color indexed="81"/>
            <rFont val="Tahoma"/>
            <family val="2"/>
          </rPr>
          <t>[˅]</t>
        </r>
        <r>
          <rPr>
            <sz val="11"/>
            <color indexed="81"/>
            <rFont val="Tahoma"/>
            <family val="2"/>
          </rPr>
          <t xml:space="preserve"> am unteren rechten Feldrand, um zwischen den Stufen
  • teilweise zutreffend,
  • überwiegend zutreffend und
  • vollkommen zutreffend
auszuwählen.</t>
        </r>
      </text>
    </comment>
  </commentList>
</comments>
</file>

<file path=xl/comments2.xml><?xml version="1.0" encoding="utf-8"?>
<comments xmlns="http://schemas.openxmlformats.org/spreadsheetml/2006/main">
  <authors>
    <author>Jens Franeck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Wichtungsformel:</t>
        </r>
        <r>
          <rPr>
            <sz val="9"/>
            <color indexed="81"/>
            <rFont val="Tahoma"/>
            <family val="2"/>
          </rPr>
          <t xml:space="preserve">
          P</t>
        </r>
        <r>
          <rPr>
            <vertAlign val="subscript"/>
            <sz val="9"/>
            <color indexed="81"/>
            <rFont val="Tahoma"/>
            <family val="2"/>
          </rPr>
          <t>akt</t>
        </r>
        <r>
          <rPr>
            <sz val="9"/>
            <color indexed="81"/>
            <rFont val="Tahoma"/>
            <family val="2"/>
          </rPr>
          <t xml:space="preserve">
P</t>
        </r>
        <r>
          <rPr>
            <vertAlign val="subscript"/>
            <sz val="9"/>
            <color indexed="81"/>
            <rFont val="Tahoma"/>
            <family val="2"/>
          </rPr>
          <t>wich</t>
        </r>
        <r>
          <rPr>
            <sz val="9"/>
            <color indexed="81"/>
            <rFont val="Tahoma"/>
            <family val="2"/>
          </rPr>
          <t xml:space="preserve"> = --- * W * P</t>
        </r>
        <r>
          <rPr>
            <vertAlign val="subscript"/>
            <sz val="9"/>
            <color indexed="81"/>
            <rFont val="Tahoma"/>
            <family val="2"/>
          </rPr>
          <t>max</t>
        </r>
        <r>
          <rPr>
            <sz val="9"/>
            <color indexed="81"/>
            <rFont val="Tahoma"/>
            <family val="2"/>
          </rPr>
          <t xml:space="preserve">
          P</t>
        </r>
        <r>
          <rPr>
            <vertAlign val="subscript"/>
            <sz val="9"/>
            <color indexed="81"/>
            <rFont val="Tahoma"/>
            <family val="2"/>
          </rPr>
          <t xml:space="preserve">krit
</t>
        </r>
        <r>
          <rPr>
            <sz val="9"/>
            <color indexed="81"/>
            <rFont val="Tahoma"/>
            <family val="2"/>
          </rPr>
          <t>P</t>
        </r>
        <r>
          <rPr>
            <vertAlign val="subscript"/>
            <sz val="9"/>
            <color indexed="81"/>
            <rFont val="Tahoma"/>
            <family val="2"/>
          </rPr>
          <t>akt</t>
        </r>
        <r>
          <rPr>
            <sz val="9"/>
            <color indexed="81"/>
            <rFont val="Tahoma"/>
            <family val="2"/>
          </rPr>
          <t xml:space="preserve">   … aktuelle Punktzahl dieses Kriteriums
P</t>
        </r>
        <r>
          <rPr>
            <vertAlign val="subscript"/>
            <sz val="9"/>
            <color indexed="81"/>
            <rFont val="Tahoma"/>
            <family val="2"/>
          </rPr>
          <t>krit</t>
        </r>
        <r>
          <rPr>
            <sz val="9"/>
            <color indexed="81"/>
            <rFont val="Tahoma"/>
            <family val="2"/>
          </rPr>
          <t xml:space="preserve">   … max. mögliche Punktzahl dieses Kriteriums
W     … Wichtung in %
P</t>
        </r>
        <r>
          <rPr>
            <vertAlign val="subscript"/>
            <sz val="9"/>
            <color indexed="81"/>
            <rFont val="Tahoma"/>
            <family val="2"/>
          </rPr>
          <t>max</t>
        </r>
        <r>
          <rPr>
            <sz val="9"/>
            <color indexed="81"/>
            <rFont val="Tahoma"/>
            <family val="2"/>
          </rPr>
          <t xml:space="preserve">  … Max. erreichbare Gesamtpunktzahl</t>
        </r>
      </text>
    </comment>
    <comment ref="H2" authorId="0" shapeId="0">
      <text>
        <r>
          <rPr>
            <sz val="9"/>
            <color indexed="81"/>
            <rFont val="Tahoma"/>
            <family val="2"/>
          </rPr>
          <t xml:space="preserve">Die Einschätzungstexte </t>
        </r>
        <r>
          <rPr>
            <b/>
            <u/>
            <sz val="9"/>
            <color indexed="81"/>
            <rFont val="Tahoma"/>
            <family val="2"/>
          </rPr>
          <t>MÜSSEN</t>
        </r>
        <r>
          <rPr>
            <sz val="9"/>
            <color indexed="81"/>
            <rFont val="Tahoma"/>
            <family val="2"/>
          </rPr>
          <t xml:space="preserve"> mit a)..e) beginnen, 
ansonsten funktioniert der Algorithmus nicht...</t>
        </r>
      </text>
    </comment>
    <comment ref="I2" authorId="0" shapeId="0">
      <text>
        <r>
          <rPr>
            <sz val="9"/>
            <color indexed="81"/>
            <rFont val="Tahoma"/>
            <family val="2"/>
          </rPr>
          <t>Verfeinerungsstufen je Kriteriumszeile
--&gt; wird nicht mehr geändert, bleibt immer bei 3</t>
        </r>
      </text>
    </comment>
    <comment ref="J2" authorId="0" shapeId="0">
      <text>
        <r>
          <rPr>
            <sz val="9"/>
            <color indexed="81"/>
            <rFont val="Tahoma"/>
            <family val="2"/>
          </rPr>
          <t>… kennzeichnet den Beginn eines neuen Kriteriums 
… ist notwendig für Anzahl der Auswahlzeilen und einige Formatierungen …</t>
        </r>
      </text>
    </comment>
    <comment ref="K2" authorId="0" shapeId="0">
      <text>
        <r>
          <rPr>
            <sz val="9"/>
            <color indexed="81"/>
            <rFont val="Tahoma"/>
            <family val="2"/>
          </rPr>
          <t>… Zeile ist notwendig zur Hervorhebung der aktuellen
Auswahl mittels bedingter Formatierung</t>
        </r>
      </text>
    </comment>
    <comment ref="L2" authorId="0" shapeId="0">
      <text>
        <r>
          <rPr>
            <sz val="9"/>
            <color indexed="81"/>
            <rFont val="Tahoma"/>
            <family val="2"/>
          </rPr>
          <t>… Zeile ist notwendig zur Hervorhebung der aktuellen
Auswahl mittels bedingter Formatierung</t>
        </r>
      </text>
    </comment>
    <comment ref="M2" authorId="0" shapeId="0">
      <text>
        <r>
          <rPr>
            <sz val="9"/>
            <color indexed="81"/>
            <rFont val="Tahoma"/>
            <family val="2"/>
          </rPr>
          <t>Angabe der Auswahlzeilen dieses Bewertungskriteriums?</t>
        </r>
      </text>
    </comment>
    <comment ref="N2" authorId="0" shapeId="0">
      <text>
        <r>
          <rPr>
            <sz val="9"/>
            <color indexed="81"/>
            <rFont val="Tahoma"/>
            <family val="2"/>
          </rPr>
          <t>das ist der Quotient 
   Max. Punkte je Kriterium
= --------------------------------
   Max. Teiler * Zeilen</t>
        </r>
      </text>
    </comment>
  </commentList>
</comments>
</file>

<file path=xl/comments3.xml><?xml version="1.0" encoding="utf-8"?>
<comments xmlns="http://schemas.openxmlformats.org/spreadsheetml/2006/main">
  <authors>
    <author>Jens Franeck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… ergibt sich als Summe über alle Kriterien und 
das Produkt von Stufenanzahl*(maximale Punkte/Stufe)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 xml:space="preserve">     1 .. Die Arbeit wird im 0-3-7-System bewertet
&lt;&gt;1 .. Die Arbeit wird im Dezimalsystem bewertet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… ergibt sich als Summe über alle Kriterien und 
das Produkt von (erreichte Stufe)*(Punkte/Stufe)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Das Dateidatum wird im Register "Versionshistorie" eingetragen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>… Prozentsatz der erreichten Punkte an der maximal möglichen Punktzahl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… erreichte Punkte auf halbe Punkte aufrunden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>… Prozentsatz der erreichten Punkte an der maximal möglichen Punktzahl
(aufgerundet auf 0.5 Punkte)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Maximale Punktzahl, die im Register "Beurteilung" angezeigt wird. Dient nur
zur Skalierung der Ergebnisse. Auf die
berechnete Endnote hat sie keinen Einfluss.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… </t>
        </r>
        <r>
          <rPr>
            <b/>
            <sz val="9"/>
            <color indexed="81"/>
            <rFont val="Tahoma"/>
            <family val="2"/>
          </rPr>
          <t>gerundete</t>
        </r>
        <r>
          <rPr>
            <sz val="9"/>
            <color indexed="81"/>
            <rFont val="Tahoma"/>
            <family val="2"/>
          </rPr>
          <t xml:space="preserve"> Notenformel
N = 7-6*Pakt / Pmax
zur Berechnung von Zehntelnoten
Wert wird auf eine Dezimalstelle 
abgerundet!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Diese Auswahl ist wichtig für die Wichtung
der Einzelkriterien. Die aktuell geltenden
Werte werden in der Tabelle rechts gelb
hervorgehoben.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Note gemäß 0-3-7-Notenformel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- Noten gerundet
- Auswahl nach Bewertungstyp
  (Dezimal oder 0-3-7)
- Grenzwerte eingearbeitet
   1 ≤ Note ≤ 5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… nur ein Zeilenindex, um die Gutachter-
    Korrektur der Note zu vereinfachen...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Der Gutachter kann die Note noch um einen
vorgegebenen Wert nach oben (schlechter) 
oder unten (besser) verändern.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     1 .. Die Arbeit wird im 0-3-7-System bewertet
&lt;&gt;1 .. Die Arbeit wird im Dezimalsystem bewertet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Gibt an, um welchen Betrag der Gutachter die
Dezimalnote nach oben oder unten ändern kann. [0,3]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… Endgültige Note</t>
        </r>
      </text>
    </comment>
  </commentList>
</comments>
</file>

<file path=xl/sharedStrings.xml><?xml version="1.0" encoding="utf-8"?>
<sst xmlns="http://schemas.openxmlformats.org/spreadsheetml/2006/main" count="198" uniqueCount="154">
  <si>
    <t>Matrikelnummer</t>
  </si>
  <si>
    <t>Titel der Arbeit</t>
  </si>
  <si>
    <t>Gutachter</t>
  </si>
  <si>
    <t>Kurs</t>
  </si>
  <si>
    <t>Prozentwert:</t>
  </si>
  <si>
    <t>Notenvorschlag:</t>
  </si>
  <si>
    <t>Name</t>
  </si>
  <si>
    <t>Vorname</t>
  </si>
  <si>
    <t>Typ der Arbeit</t>
  </si>
  <si>
    <t>Auswertung</t>
  </si>
  <si>
    <t>Studienarbeit</t>
  </si>
  <si>
    <t>Einschätzungstexte</t>
  </si>
  <si>
    <t>Version:</t>
  </si>
  <si>
    <t>Bearbeitungsstand vom:</t>
  </si>
  <si>
    <t>1.0</t>
  </si>
  <si>
    <t>Dateiname:</t>
  </si>
  <si>
    <t>Akt. Stufe</t>
  </si>
  <si>
    <t>Typ der Arbeit (Nr.):</t>
  </si>
  <si>
    <t>Korrektur:</t>
  </si>
  <si>
    <t>keine</t>
  </si>
  <si>
    <t>Endnote Gutachten</t>
  </si>
  <si>
    <t>↗</t>
  </si>
  <si>
    <t>↘</t>
  </si>
  <si>
    <r>
      <t>Maximal mögliche Punkte P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>:</t>
    </r>
  </si>
  <si>
    <t>Ende Tabelle (Diese Zeile nicht löschen oder verschieben)</t>
  </si>
  <si>
    <t>Zeilen/Kriterium</t>
  </si>
  <si>
    <t xml:space="preserve">Datum </t>
  </si>
  <si>
    <t>Bearbeiter</t>
  </si>
  <si>
    <t>Beschreibung</t>
  </si>
  <si>
    <t>Projektarbeit 1</t>
  </si>
  <si>
    <t>JF</t>
  </si>
  <si>
    <t>Versionsnummer nach Änderung</t>
  </si>
  <si>
    <t>Punktzahl/Stufe</t>
  </si>
  <si>
    <t>≠100%</t>
  </si>
  <si>
    <t>Max. Teiler</t>
  </si>
  <si>
    <t>Maximalpunktzahl:</t>
  </si>
  <si>
    <t>Akt. Teiler</t>
  </si>
  <si>
    <t>Bereichsgrenze</t>
  </si>
  <si>
    <t>Nr. der Endzeile:</t>
  </si>
  <si>
    <t>Vektorindex</t>
  </si>
  <si>
    <t>Akt. Auswahl</t>
  </si>
  <si>
    <t>- Einarbeitung der Vorschläge von Jürgen Klingenberg (Kriterien und Wichtungen)</t>
  </si>
  <si>
    <t>- Umstellung der Punktvergabe und Wichtung: für jedes Bewertungskriterium wird genau die gleiche Gesamtpunktzahl P_Krit vergeben, die danach gewichtet wird.</t>
  </si>
  <si>
    <r>
      <t>Erreichte Punkte P</t>
    </r>
    <r>
      <rPr>
        <b/>
        <vertAlign val="subscript"/>
        <sz val="11"/>
        <color theme="1"/>
        <rFont val="Calibri"/>
        <family val="2"/>
        <scheme val="minor"/>
      </rPr>
      <t>akt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(aufgerundet auf 0.5)</t>
    </r>
    <r>
      <rPr>
        <b/>
        <sz val="11"/>
        <color theme="1"/>
        <rFont val="Calibri"/>
        <family val="2"/>
        <scheme val="minor"/>
      </rPr>
      <t>:</t>
    </r>
  </si>
  <si>
    <t>Anzahl der Kriterien:</t>
  </si>
  <si>
    <t>Liste der Arbeiten</t>
  </si>
  <si>
    <r>
      <t>Erreichte Punkte P</t>
    </r>
    <r>
      <rPr>
        <b/>
        <vertAlign val="subscript"/>
        <sz val="11"/>
        <color theme="1"/>
        <rFont val="Calibri"/>
        <family val="2"/>
        <scheme val="minor"/>
      </rPr>
      <t>akt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(genauer Wert)</t>
    </r>
    <r>
      <rPr>
        <b/>
        <sz val="11"/>
        <color theme="1"/>
        <rFont val="Calibri"/>
        <family val="2"/>
        <scheme val="minor"/>
      </rPr>
      <t>:</t>
    </r>
  </si>
  <si>
    <t>Infos &amp; Organisation</t>
  </si>
  <si>
    <t>Bewertungs-kriterium</t>
  </si>
  <si>
    <t>untere Notengrenzen/ Notenliste</t>
  </si>
  <si>
    <t>Ausprägung der Leistungsstufen</t>
  </si>
  <si>
    <t>- 3 Ausprägungen für die Leistungsstufen (vollkommen zutreffend, überwiegend zutreffend, im Wesentlichen zutreffend) für Zehntelnoten</t>
  </si>
  <si>
    <t xml:space="preserve">- Quelle für Notenschlüssel: http://www.ba-dresden.de/de/service/dokumente/dokumente-fuer-dozenten.html </t>
  </si>
  <si>
    <t>vollkommen zutreffend</t>
  </si>
  <si>
    <t>überwiegend zutreffend</t>
  </si>
  <si>
    <t>Bitte geben Sie eine kurze Begründung zur manuellen Korrektur des Bewertungsvorschlags an!</t>
  </si>
  <si>
    <t>teilweise zutreffend</t>
  </si>
  <si>
    <t>Wichtung</t>
  </si>
  <si>
    <t>AK</t>
  </si>
  <si>
    <r>
      <t xml:space="preserve">Neue Zeilen bitte </t>
    </r>
    <r>
      <rPr>
        <b/>
        <u/>
        <sz val="11"/>
        <color rgb="FFFF0000"/>
        <rFont val="Calibri"/>
        <family val="2"/>
        <scheme val="minor"/>
      </rPr>
      <t>oberhalb</t>
    </r>
    <r>
      <rPr>
        <sz val="11"/>
        <color rgb="FFFF0000"/>
        <rFont val="Calibri"/>
        <family val="2"/>
        <scheme val="minor"/>
      </rPr>
      <t xml:space="preserve"> der vorangegangenen einfügen.</t>
    </r>
  </si>
  <si>
    <r>
      <t>Gewichtete Punkte P</t>
    </r>
    <r>
      <rPr>
        <b/>
        <vertAlign val="subscript"/>
        <sz val="12"/>
        <color theme="1"/>
        <rFont val="Calibri"/>
        <family val="2"/>
        <scheme val="minor"/>
      </rPr>
      <t>Wich</t>
    </r>
  </si>
  <si>
    <t>- Wichtungsformel geändert</t>
  </si>
  <si>
    <t>Notenzeile:</t>
  </si>
  <si>
    <t>- einige Formatierungen geändert</t>
  </si>
  <si>
    <t>Hinweistext Anmerkungen</t>
  </si>
  <si>
    <t xml:space="preserve"> </t>
  </si>
  <si>
    <t>- Verfahren für Hinweistext bei manueller Notenkorrektur geändert (jetzt nicht mehr bedingt formatiert sondern Text mit Wenn() angepasst)</t>
  </si>
  <si>
    <t>a) Aufgabenstellung nicht ausreichend erfasst:
    - unzureichende Analyse, unvollständige Anforderungen
    - unzulässige Vereinfachung</t>
  </si>
  <si>
    <t>b) Aufgabenstellung ausreichend erfasst:
    - Analyse und Ableitung der Anforderungen mit deutlichen Mängeln
    - zu starke Vereinfachung</t>
  </si>
  <si>
    <t>c) Aufgabenstellung befriedigend erfasst:
    - Analyse und Ableitung der Anforderungen mit geringen Mängeln
    - starke Vereinfachung</t>
  </si>
  <si>
    <t>d) Aufgabenstellung vollständig erfasst:
    - Analyse und Ableitung der Anforderungen ohne Mängel
    - sinnvolle Vereinfachung</t>
  </si>
  <si>
    <t>e) Aufgabenstellung hervorragend erfasst bzw. sinnvoll erweitert:
    - umfassende Analyse, zusätzliche Anforderungen aufgenommen
    - sehr gute Modellierung</t>
  </si>
  <si>
    <t>a) keine eigenen Ideen, keine Lösungsalternativen aufgezeigt
    unfähig zur Anwendung bekannter Lösungen auf neue Situation
    kaum Literaturbezug</t>
  </si>
  <si>
    <t>b) wenig eigene Ideen, nur wenige naheliegende Lösungsalternativen aufgezeigt
    Lösungseigenschaften nur oberflächlich betrachtet
    ansatzweise Anwendung bekannter Lösungen auf neue Situation
    mäßige Literaturrecherche, nur Grundlagenwerke</t>
  </si>
  <si>
    <t>d) eigene Ideen, bekannte Lösungen gut recherchiert
    Lösungseigenschaften nachvollziehbar ermittelt
    eigene Lösungen ansatzweise auf neue Situation angewandt
    gute Literaturrecherche: repräsentative Quellenübersicht</t>
  </si>
  <si>
    <t>e) wesentliche eigene Ideen, innovative Lösungen
    Lösungseigenschaften detailliert untersucht
    erfolgreiche Umsetzung der eigenen Ideen
    umfassende zielgerichtete Literaturrecherche</t>
  </si>
  <si>
    <t>a) unsystematische (planlose) Vorgehensweise
    nicht methodisch
    wesentliche fachliche Mängel</t>
  </si>
  <si>
    <t>b) mangelhafte Systematik
    Methoden ansatzweise erkennbar
    Fachkenntnisse lückenhaft</t>
  </si>
  <si>
    <t>c) geringe Mängel im systematischen Vorgehen
    kein konsequenter Methodeneinsatz
    Fachkenntnisse teilweise lückenhaft</t>
  </si>
  <si>
    <t>d) gute Systematik
    durchgängig Anwendung von üblichen Methoden
    gute Fachkenntnisse</t>
  </si>
  <si>
    <t>e) zielführende Systematik
    vorbildlicher Methodeneinsatz
    sehr gute Fachkenntnisse</t>
  </si>
  <si>
    <t>a) unzureichende Bearbeitung, lediglich Lösungsansätze 
    Ergebnis im Sinne der Aufgabe nicht nutzbar 
    Endergebnis erfüllt die Anforderungen der Aufgabenstellung nicht</t>
  </si>
  <si>
    <t>b) einige Teilprobleme gelöst oder teilweise gelöst
    Ergebnis erfordert wesentlichen Aufwand, um nutzbar gemacht zu werden
    das Endergebnis erfüllt die meisten Anforderungen der Aufgabenstellung</t>
  </si>
  <si>
    <t>c) die meisten Teilprobleme befriedigend gelöst
    Ergebnis kann durch Modifikationen nutzbar gemacht werden
    Endergebnis erfüllt die meisten Anforderungen der Aufgabenstellung</t>
  </si>
  <si>
    <t>d) alle Teilprobleme gut gelöst
    Ergebnis kann mit geringfügigen Modifikationen nutzbar gemacht werden
    Endergebnis erfüllt die wesentlichen Anforderungen der Aufgabenstellung</t>
  </si>
  <si>
    <t>e) alle Teilprobleme wurden vollständig gelöst
    zusätzliche Aspekte wurden bei der Lösungsfindung einbezogen
    Ergebnis kann ohne Modifikationen genutzt werden
    Endergebnis übertrifft die Erwartungen der Aufgabenstellung</t>
  </si>
  <si>
    <t>a) unvollständige, nicht nachvollziehbare Dokumentation
    mangelnde Sorgfalt</t>
  </si>
  <si>
    <t>b) ausreichende, nachvollziehbare Dokumentation
    mangelnde Sorgfalt und Vollständigkeit</t>
  </si>
  <si>
    <t>c) befriedigende, nachvollziehbare Dokumentation, sinnvolle Gliederung
    nur geringfügige Mängel bei Sorgfalt und Vollständigkeit</t>
  </si>
  <si>
    <t>d) gute Dokumentation, verständliche Darstellung
    Arbeit ist sorgfältig, übersichtlich und vollständig</t>
  </si>
  <si>
    <t>e) sehr gute Dokumentation, anschauliche prägnante Darstellung
    mustergültige Arbeit, sehr übersichtlich, vollständig</t>
  </si>
  <si>
    <t>a) sehr unselbstständig, umfangreiche Unterstützung notwendig
    keine Eigeninitiative</t>
  </si>
  <si>
    <t>b) überwiegend unselbstständig, deutliche Unterstützung notwendig
    kaum Eigeninitiative</t>
  </si>
  <si>
    <t>c) häufig selbstständiges Arbeiten, geringe Unterstützung
    wenig Eigeninitiative; nur bekannte Lösungsansätze</t>
  </si>
  <si>
    <t>d) überwiegend selbstständig
    ausgeprägte Eigeninitiative, alternative Ansätze</t>
  </si>
  <si>
    <t>e) vollkommen selbstständig
    durch große Eigeninitiative wurde das Ziel der Arbeit übertroffen</t>
  </si>
  <si>
    <t xml:space="preserve">Analyse der Aufgabenstellung
</t>
  </si>
  <si>
    <t xml:space="preserve">Ableitung der Lösung, Erfassung des IST-Standes
</t>
  </si>
  <si>
    <t>Systematik, Methodeneinsatz, Fachkenntnisse</t>
  </si>
  <si>
    <t>fachliche Bearbeitung, Erreichung der Zielsetzung</t>
  </si>
  <si>
    <t>Dokumentation, Sorgfalt</t>
  </si>
  <si>
    <t>Eigeninitiative, Selbständigkeit</t>
  </si>
  <si>
    <r>
      <t xml:space="preserve">Prozentwert  </t>
    </r>
    <r>
      <rPr>
        <sz val="11"/>
        <color theme="1"/>
        <rFont val="Calibri"/>
        <family val="2"/>
        <scheme val="minor"/>
      </rPr>
      <t>(aufgerundet auf 0.5%)</t>
    </r>
    <r>
      <rPr>
        <b/>
        <sz val="11"/>
        <color theme="1"/>
        <rFont val="Calibri"/>
        <family val="2"/>
        <scheme val="minor"/>
      </rPr>
      <t>:</t>
    </r>
  </si>
  <si>
    <t>- Register teilweise ausgeblendet und alles mit Passwort geschützt …</t>
  </si>
  <si>
    <t>- Änderungen aus speziellem Diplom-Beurteilungsbogen von 2017 eingearbeitet
- Notenformel auf die ursprügliche Funktion zurück geändert
- Notengrenzwerttabelle editiert (doppelte Werte herausgenommen)</t>
  </si>
  <si>
    <t xml:space="preserve"> Raum für Anmerkungen</t>
  </si>
  <si>
    <t xml:space="preserve">- Quelle für Leistungsstufen: http://www.dhbw-heidenheim.de/fuer-Studierende-und-Dozenten-Unterlagen-zum.734.0.html  </t>
  </si>
  <si>
    <t xml:space="preserve">Summe: </t>
  </si>
  <si>
    <t>- Bewertungs-Prozentgrenzen an die bisher im SG MB geltenden Werte geändert</t>
  </si>
  <si>
    <r>
      <t xml:space="preserve">- 5 Leistungsstufen für </t>
    </r>
    <r>
      <rPr>
        <b/>
        <sz val="11"/>
        <color theme="1"/>
        <rFont val="Calibri"/>
        <family val="2"/>
        <scheme val="minor"/>
      </rPr>
      <t>jedes</t>
    </r>
    <r>
      <rPr>
        <sz val="11"/>
        <color theme="1"/>
        <rFont val="Calibri"/>
        <family val="2"/>
        <scheme val="minor"/>
      </rPr>
      <t xml:space="preserve"> Bewertungskriterium (ungenügend, genügend, befriedigend, gut, sehr gut) </t>
    </r>
  </si>
  <si>
    <t xml:space="preserve">Punkte je Kriterium: </t>
  </si>
  <si>
    <t>c) einige eigene Ideen, nur wenige geeignete Lösungsalternativen aufgezeigt
     Lösungseigenschaften befriedigend betrachtet
     praktisch ausschließlich Anwendung bekannter Lösungen auf neue Situation
     befriedigende Literaturrecherche: Grundlagenwerke, Fachartikel</t>
  </si>
  <si>
    <t>Auswahlfeld</t>
  </si>
  <si>
    <r>
      <t>Aktuelle Punkte P</t>
    </r>
    <r>
      <rPr>
        <b/>
        <vertAlign val="subscript"/>
        <sz val="12"/>
        <color theme="1"/>
        <rFont val="Calibri"/>
        <family val="2"/>
        <scheme val="minor"/>
      </rPr>
      <t>akt</t>
    </r>
  </si>
  <si>
    <t>Ort, Datum</t>
  </si>
  <si>
    <t>Unterschrift / Stempel</t>
  </si>
  <si>
    <r>
      <rPr>
        <sz val="8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Berufsakademie Sachsen - Staatliche Studienakademie Riesa - Studiengang Maschinenbau</t>
    </r>
  </si>
  <si>
    <t>1.1</t>
  </si>
  <si>
    <t>Gutachterkorrektur</t>
  </si>
  <si>
    <t>Bewertungstyp</t>
  </si>
  <si>
    <t>Bezeichnung</t>
  </si>
  <si>
    <t>Korrekturwert Dezimal:</t>
  </si>
  <si>
    <t>1.2</t>
  </si>
  <si>
    <t>Bewertungstyp:</t>
  </si>
  <si>
    <t>- Notenbildung entsprechend "Richtlinie zur Beurteilung von Prüfungsleistungen"; StA Dresden</t>
  </si>
  <si>
    <t>- Bewertungsvorgaben geändert (Diplom bekommt wiederDezimalnoten, alle übrigen behalten das 0,3,7-System)</t>
  </si>
  <si>
    <t>Projektarbeit 4</t>
  </si>
  <si>
    <t>- Beschreibung der Arbeitstypen geändert (Projektarbeiten 1, 2/3 und 4 sowie Studienarbeit und Diplomarbeit, vorher war 1, 2 und 3/4)</t>
  </si>
  <si>
    <t>Name dieses Registers:</t>
  </si>
  <si>
    <t>037</t>
  </si>
  <si>
    <t>Endnote Dezimal</t>
  </si>
  <si>
    <t>Endnote 0-3-7</t>
  </si>
  <si>
    <t xml:space="preserve">Max. Notenzeile: </t>
  </si>
  <si>
    <t>- Bewertungsformeln überarbeitet, besonders in den Endbereichen 1 und 4 (bzw. 5), Probleme der Gutachterkorrektur in den Endbereichen behoben</t>
  </si>
  <si>
    <t xml:space="preserve">Dateidatum </t>
  </si>
  <si>
    <t>Notenvorschlag Dezimal</t>
  </si>
  <si>
    <t>Notenvorschlag 0-3-7</t>
  </si>
  <si>
    <t>Notenvorschlag gemäß Bewertungstyp:</t>
  </si>
  <si>
    <t>1.3</t>
  </si>
  <si>
    <t>- Umstellung von Diplom- auf Bachelorarbeit</t>
  </si>
  <si>
    <t>Bachelorarbeit</t>
  </si>
  <si>
    <t>1.4</t>
  </si>
  <si>
    <t>Projektarbeit 2</t>
  </si>
  <si>
    <t>Projektarbeit 3</t>
  </si>
  <si>
    <t>Projektarbeit 5</t>
  </si>
  <si>
    <t>- zukünftige notwendige Projektarbeit 5 eingearbeitet, Wichtungen angepasst</t>
  </si>
  <si>
    <t>- Nummerierung im Beurteilungsbogen von 1. bzw. 2. auf (1) bzw. (2) geändert, Versionsnr. bleibt gleich, da 1.4 noch nicht veröffentlicht war</t>
  </si>
  <si>
    <t>② Ausprägung</t>
  </si>
  <si>
    <t>① Auswahl der Leistungsstufe</t>
  </si>
  <si>
    <t>Beurteilungsbogen für Projekt-, Studien- und Abschlussarbeiten</t>
  </si>
  <si>
    <t>1.5</t>
  </si>
  <si>
    <t>Bestätigungsvermerk (außer für die Bachelorarbeit) eingefügt, Hinweis "ab Matrikel 2019" entfernt</t>
  </si>
  <si>
    <t>1.6</t>
  </si>
  <si>
    <t>- Feld "bestätigt (StA)" neben der Endnote im Register "Beurteilung" wird je nach Typ der Arbeit ein- oder ausgeblendet
- Font im Anmerkungs-Textfeld von 16 auf 14 verringert (mehr Platz zum Schreiben geschaffen)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</si>
</sst>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%"/>
    <numFmt numFmtId="165" formatCode="\ @"/>
    <numFmt numFmtId="166" formatCode="0.0"/>
    <numFmt numFmtId="167" formatCode="0.0#"/>
    <numFmt numFmtId="168" formatCode="@\ "/>
    <numFmt numFmtId="169" formatCode="\ General"/>
    <numFmt numFmtId="170" formatCode="\ @\ "/>
    <numFmt numFmtId="171" formatCode="dd/mm/yy;@"/>
    <numFmt numFmtId="172" formatCode="\ \ 0.0"/>
    <numFmt numFmtId="173" formatCode="d/m/yyyy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 tint="-0.149967955565050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11"/>
      <color indexed="81"/>
      <name val="Tahoma"/>
      <family val="2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6"/>
      <color theme="1"/>
      <name val="Calibri"/>
      <family val="2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21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9" fontId="0" fillId="3" borderId="0" xfId="0" applyNumberFormat="1" applyFill="1" applyAlignment="1" applyProtection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/>
    <xf numFmtId="0" fontId="11" fillId="3" borderId="0" xfId="0" applyFont="1" applyFill="1"/>
    <xf numFmtId="0" fontId="0" fillId="3" borderId="17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 wrapText="1" indent="3"/>
    </xf>
    <xf numFmtId="0" fontId="0" fillId="3" borderId="0" xfId="0" applyFont="1" applyFill="1" applyAlignment="1">
      <alignment horizontal="left" wrapText="1" indent="3"/>
    </xf>
    <xf numFmtId="0" fontId="1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165" fontId="12" fillId="6" borderId="0" xfId="0" applyNumberFormat="1" applyFont="1" applyFill="1" applyBorder="1" applyAlignment="1">
      <alignment horizontal="left" vertical="center" wrapText="1"/>
    </xf>
    <xf numFmtId="165" fontId="12" fillId="6" borderId="0" xfId="0" applyNumberFormat="1" applyFont="1" applyFill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top" wrapText="1"/>
    </xf>
    <xf numFmtId="0" fontId="0" fillId="3" borderId="18" xfId="0" applyFont="1" applyFill="1" applyBorder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indent="1"/>
    </xf>
    <xf numFmtId="0" fontId="14" fillId="3" borderId="0" xfId="0" applyFont="1" applyFill="1" applyAlignment="1">
      <alignment horizontal="left" wrapText="1" indent="3"/>
    </xf>
    <xf numFmtId="0" fontId="14" fillId="3" borderId="0" xfId="0" applyFont="1" applyFill="1"/>
    <xf numFmtId="0" fontId="14" fillId="6" borderId="7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left" wrapText="1" indent="3"/>
    </xf>
    <xf numFmtId="0" fontId="14" fillId="6" borderId="10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/>
    </xf>
    <xf numFmtId="0" fontId="14" fillId="6" borderId="38" xfId="0" applyFont="1" applyFill="1" applyBorder="1" applyProtection="1"/>
    <xf numFmtId="0" fontId="14" fillId="3" borderId="0" xfId="0" applyFont="1" applyFill="1" applyProtection="1"/>
    <xf numFmtId="0" fontId="14" fillId="6" borderId="0" xfId="0" applyFont="1" applyFill="1" applyBorder="1" applyAlignment="1" applyProtection="1"/>
    <xf numFmtId="0" fontId="14" fillId="6" borderId="0" xfId="0" applyFont="1" applyFill="1" applyBorder="1" applyAlignment="1" applyProtection="1">
      <alignment horizontal="left" wrapText="1" indent="3"/>
    </xf>
    <xf numFmtId="0" fontId="14" fillId="6" borderId="38" xfId="0" applyFont="1" applyFill="1" applyBorder="1" applyAlignment="1" applyProtection="1"/>
    <xf numFmtId="0" fontId="14" fillId="6" borderId="39" xfId="0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/>
    <xf numFmtId="0" fontId="14" fillId="6" borderId="11" xfId="0" applyFont="1" applyFill="1" applyBorder="1" applyAlignment="1" applyProtection="1">
      <alignment horizontal="left" wrapText="1" indent="3"/>
    </xf>
    <xf numFmtId="0" fontId="14" fillId="6" borderId="12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9" fontId="16" fillId="6" borderId="0" xfId="1" applyFont="1" applyFill="1" applyBorder="1" applyAlignment="1">
      <alignment horizontal="left" vertical="top" wrapText="1"/>
    </xf>
    <xf numFmtId="9" fontId="14" fillId="3" borderId="0" xfId="1" applyFont="1" applyFill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38" xfId="0" applyFont="1" applyFill="1" applyBorder="1" applyAlignment="1">
      <alignment vertical="center" wrapText="1"/>
    </xf>
    <xf numFmtId="0" fontId="12" fillId="6" borderId="28" xfId="0" applyNumberFormat="1" applyFont="1" applyFill="1" applyBorder="1" applyAlignment="1">
      <alignment horizontal="center"/>
    </xf>
    <xf numFmtId="0" fontId="12" fillId="6" borderId="26" xfId="0" applyNumberFormat="1" applyFont="1" applyFill="1" applyBorder="1" applyAlignment="1"/>
    <xf numFmtId="0" fontId="12" fillId="6" borderId="27" xfId="0" applyNumberFormat="1" applyFont="1" applyFill="1" applyBorder="1" applyAlignment="1"/>
    <xf numFmtId="0" fontId="14" fillId="3" borderId="0" xfId="0" applyFont="1" applyFill="1" applyAlignment="1"/>
    <xf numFmtId="0" fontId="0" fillId="3" borderId="0" xfId="0" applyFill="1" applyAlignment="1" applyProtection="1">
      <alignment vertical="center"/>
    </xf>
    <xf numFmtId="0" fontId="2" fillId="5" borderId="14" xfId="0" applyFont="1" applyFill="1" applyBorder="1" applyAlignment="1" applyProtection="1">
      <alignment horizontal="center" vertical="center" wrapText="1"/>
    </xf>
    <xf numFmtId="0" fontId="1" fillId="5" borderId="15" xfId="0" applyFont="1" applyFill="1" applyBorder="1" applyAlignment="1" applyProtection="1">
      <alignment horizontal="left" vertical="center"/>
    </xf>
    <xf numFmtId="0" fontId="0" fillId="5" borderId="15" xfId="0" applyFill="1" applyBorder="1" applyAlignment="1" applyProtection="1">
      <alignment horizontal="right" vertical="center"/>
    </xf>
    <xf numFmtId="0" fontId="1" fillId="5" borderId="1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right" vertical="center"/>
    </xf>
    <xf numFmtId="0" fontId="1" fillId="5" borderId="4" xfId="0" applyFont="1" applyFill="1" applyBorder="1" applyAlignment="1" applyProtection="1">
      <alignment horizontal="left" vertical="center"/>
    </xf>
    <xf numFmtId="0" fontId="9" fillId="3" borderId="57" xfId="0" applyFont="1" applyFill="1" applyBorder="1" applyAlignment="1" applyProtection="1">
      <alignment horizontal="left" vertical="center" indent="1"/>
    </xf>
    <xf numFmtId="0" fontId="22" fillId="6" borderId="26" xfId="0" applyNumberFormat="1" applyFont="1" applyFill="1" applyBorder="1" applyAlignment="1"/>
    <xf numFmtId="0" fontId="14" fillId="6" borderId="39" xfId="0" applyFont="1" applyFill="1" applyBorder="1" applyAlignment="1"/>
    <xf numFmtId="0" fontId="14" fillId="6" borderId="40" xfId="0" applyFont="1" applyFill="1" applyBorder="1" applyAlignment="1"/>
    <xf numFmtId="165" fontId="15" fillId="4" borderId="11" xfId="0" applyNumberFormat="1" applyFont="1" applyFill="1" applyBorder="1" applyAlignment="1" applyProtection="1">
      <alignment vertical="center" shrinkToFit="1"/>
      <protection locked="0"/>
    </xf>
    <xf numFmtId="166" fontId="25" fillId="6" borderId="11" xfId="0" applyNumberFormat="1" applyFont="1" applyFill="1" applyBorder="1" applyAlignment="1" applyProtection="1">
      <alignment vertical="center"/>
    </xf>
    <xf numFmtId="0" fontId="0" fillId="3" borderId="52" xfId="0" applyFont="1" applyFill="1" applyBorder="1" applyAlignment="1" applyProtection="1">
      <alignment horizontal="center" vertical="center"/>
    </xf>
    <xf numFmtId="0" fontId="0" fillId="3" borderId="53" xfId="0" applyFont="1" applyFill="1" applyBorder="1" applyAlignment="1" applyProtection="1">
      <alignment horizontal="center" vertical="center"/>
    </xf>
    <xf numFmtId="0" fontId="0" fillId="3" borderId="54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1" fillId="3" borderId="59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left" vertical="center" indent="1"/>
    </xf>
    <xf numFmtId="0" fontId="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/>
    </xf>
    <xf numFmtId="9" fontId="27" fillId="0" borderId="48" xfId="1" applyFont="1" applyBorder="1" applyAlignment="1" applyProtection="1">
      <alignment horizontal="center" vertical="center" wrapText="1"/>
      <protection locked="0"/>
    </xf>
    <xf numFmtId="9" fontId="27" fillId="0" borderId="55" xfId="1" applyFont="1" applyBorder="1" applyAlignment="1" applyProtection="1">
      <alignment horizontal="center" vertical="center" wrapText="1"/>
      <protection locked="0"/>
    </xf>
    <xf numFmtId="9" fontId="27" fillId="0" borderId="56" xfId="1" applyFont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shrinkToFit="1"/>
      <protection locked="0"/>
    </xf>
    <xf numFmtId="0" fontId="13" fillId="6" borderId="0" xfId="0" applyFont="1" applyFill="1" applyBorder="1" applyAlignment="1">
      <alignment horizontal="left" vertical="center" shrinkToFit="1"/>
    </xf>
    <xf numFmtId="166" fontId="27" fillId="8" borderId="3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49" fontId="0" fillId="0" borderId="47" xfId="0" quotePrefix="1" applyNumberFormat="1" applyFont="1" applyFill="1" applyBorder="1" applyAlignment="1" applyProtection="1">
      <alignment horizontal="left" vertical="top" wrapText="1" indent="1"/>
      <protection locked="0"/>
    </xf>
    <xf numFmtId="49" fontId="0" fillId="0" borderId="50" xfId="0" quotePrefix="1" applyNumberFormat="1" applyFont="1" applyFill="1" applyBorder="1" applyAlignment="1" applyProtection="1">
      <alignment horizontal="left" vertical="top" indent="1"/>
      <protection locked="0"/>
    </xf>
    <xf numFmtId="49" fontId="0" fillId="0" borderId="50" xfId="0" applyNumberFormat="1" applyFont="1" applyFill="1" applyBorder="1" applyAlignment="1" applyProtection="1">
      <alignment horizontal="left" vertical="top" indent="1"/>
      <protection locked="0"/>
    </xf>
    <xf numFmtId="49" fontId="0" fillId="0" borderId="47" xfId="0" applyNumberFormat="1" applyFont="1" applyFill="1" applyBorder="1" applyAlignment="1" applyProtection="1">
      <alignment horizontal="left" vertical="top" indent="1"/>
      <protection locked="0"/>
    </xf>
    <xf numFmtId="0" fontId="7" fillId="3" borderId="44" xfId="0" applyFont="1" applyFill="1" applyBorder="1" applyAlignment="1">
      <alignment vertical="center" wrapText="1"/>
    </xf>
    <xf numFmtId="0" fontId="31" fillId="3" borderId="42" xfId="0" applyFont="1" applyFill="1" applyBorder="1" applyAlignment="1">
      <alignment horizontal="center" vertical="center" wrapText="1"/>
    </xf>
    <xf numFmtId="49" fontId="29" fillId="0" borderId="50" xfId="0" quotePrefix="1" applyNumberFormat="1" applyFont="1" applyFill="1" applyBorder="1" applyAlignment="1" applyProtection="1">
      <alignment horizontal="left" indent="1"/>
      <protection locked="0"/>
    </xf>
    <xf numFmtId="2" fontId="30" fillId="3" borderId="14" xfId="0" applyNumberFormat="1" applyFont="1" applyFill="1" applyBorder="1" applyAlignment="1">
      <alignment horizontal="center" vertical="center" wrapText="1"/>
    </xf>
    <xf numFmtId="0" fontId="30" fillId="3" borderId="42" xfId="0" applyFont="1" applyFill="1" applyBorder="1" applyAlignment="1">
      <alignment horizontal="right" vertical="center" wrapText="1" indent="1"/>
    </xf>
    <xf numFmtId="0" fontId="0" fillId="5" borderId="36" xfId="0" applyFill="1" applyBorder="1" applyAlignment="1" applyProtection="1">
      <alignment horizontal="right" vertical="center"/>
    </xf>
    <xf numFmtId="0" fontId="0" fillId="5" borderId="24" xfId="0" applyFill="1" applyBorder="1" applyAlignment="1" applyProtection="1">
      <alignment horizontal="right" vertical="center"/>
    </xf>
    <xf numFmtId="0" fontId="7" fillId="3" borderId="26" xfId="0" applyFont="1" applyFill="1" applyBorder="1" applyAlignment="1">
      <alignment vertical="center" wrapText="1"/>
    </xf>
    <xf numFmtId="0" fontId="0" fillId="3" borderId="13" xfId="0" applyNumberFormat="1" applyFont="1" applyFill="1" applyBorder="1" applyAlignment="1" applyProtection="1">
      <alignment horizontal="center" vertical="center" wrapText="1"/>
    </xf>
    <xf numFmtId="0" fontId="0" fillId="3" borderId="17" xfId="0" applyNumberFormat="1" applyFont="1" applyFill="1" applyBorder="1" applyAlignment="1" applyProtection="1">
      <alignment horizontal="center" vertical="center" wrapText="1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center" vertical="center" wrapText="1"/>
    </xf>
    <xf numFmtId="0" fontId="14" fillId="6" borderId="0" xfId="0" applyFont="1" applyFill="1" applyBorder="1" applyAlignment="1">
      <alignment horizontal="left" indent="1"/>
    </xf>
    <xf numFmtId="0" fontId="14" fillId="6" borderId="0" xfId="0" applyFont="1" applyFill="1" applyBorder="1" applyAlignment="1">
      <alignment horizontal="left" wrapText="1" indent="3"/>
    </xf>
    <xf numFmtId="0" fontId="14" fillId="6" borderId="0" xfId="0" applyFont="1" applyFill="1" applyBorder="1"/>
    <xf numFmtId="0" fontId="14" fillId="6" borderId="38" xfId="0" applyFont="1" applyFill="1" applyBorder="1"/>
    <xf numFmtId="0" fontId="18" fillId="6" borderId="10" xfId="0" applyFont="1" applyFill="1" applyBorder="1" applyAlignment="1">
      <alignment vertical="center" shrinkToFit="1"/>
    </xf>
    <xf numFmtId="0" fontId="18" fillId="6" borderId="38" xfId="0" applyFont="1" applyFill="1" applyBorder="1" applyAlignment="1">
      <alignment vertical="center" shrinkToFit="1"/>
    </xf>
    <xf numFmtId="0" fontId="35" fillId="5" borderId="1" xfId="0" applyFont="1" applyFill="1" applyBorder="1" applyAlignment="1" applyProtection="1">
      <alignment horizontal="left" vertical="center" indent="1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9" fontId="0" fillId="0" borderId="50" xfId="0" applyNumberFormat="1" applyFont="1" applyFill="1" applyBorder="1" applyAlignment="1" applyProtection="1">
      <alignment horizontal="left" indent="1"/>
      <protection locked="0"/>
    </xf>
    <xf numFmtId="0" fontId="0" fillId="3" borderId="50" xfId="0" applyNumberFormat="1" applyFont="1" applyFill="1" applyBorder="1" applyAlignment="1" applyProtection="1">
      <alignment horizontal="left" vertical="center" indent="1"/>
    </xf>
    <xf numFmtId="0" fontId="1" fillId="2" borderId="0" xfId="0" applyFont="1" applyFill="1" applyAlignment="1" applyProtection="1">
      <alignment vertical="center"/>
    </xf>
    <xf numFmtId="0" fontId="0" fillId="3" borderId="58" xfId="0" applyNumberFormat="1" applyFont="1" applyFill="1" applyBorder="1" applyAlignment="1" applyProtection="1">
      <alignment horizontal="left" vertical="center" indent="1"/>
    </xf>
    <xf numFmtId="1" fontId="27" fillId="8" borderId="0" xfId="0" applyNumberFormat="1" applyFont="1" applyFill="1" applyBorder="1" applyAlignment="1">
      <alignment horizontal="center" vertical="center"/>
    </xf>
    <xf numFmtId="0" fontId="0" fillId="5" borderId="4" xfId="0" applyFont="1" applyFill="1" applyBorder="1" applyAlignment="1" applyProtection="1">
      <alignment horizontal="right" vertical="center"/>
    </xf>
    <xf numFmtId="0" fontId="0" fillId="3" borderId="16" xfId="0" applyFill="1" applyBorder="1" applyAlignment="1" applyProtection="1">
      <alignment horizontal="left" vertical="center" indent="1"/>
    </xf>
    <xf numFmtId="164" fontId="0" fillId="3" borderId="3" xfId="0" applyNumberFormat="1" applyFill="1" applyBorder="1" applyAlignment="1" applyProtection="1">
      <alignment horizontal="left" vertical="center" indent="1"/>
    </xf>
    <xf numFmtId="167" fontId="0" fillId="3" borderId="3" xfId="0" applyNumberFormat="1" applyFill="1" applyBorder="1" applyAlignment="1" applyProtection="1">
      <alignment horizontal="left" vertical="center" indent="1"/>
    </xf>
    <xf numFmtId="0" fontId="27" fillId="3" borderId="3" xfId="0" applyFont="1" applyFill="1" applyBorder="1" applyAlignment="1" applyProtection="1">
      <alignment horizontal="left" vertical="center" indent="1"/>
    </xf>
    <xf numFmtId="170" fontId="4" fillId="3" borderId="1" xfId="0" applyNumberFormat="1" applyFont="1" applyFill="1" applyBorder="1" applyAlignment="1" applyProtection="1">
      <alignment horizontal="center" textRotation="90"/>
    </xf>
    <xf numFmtId="170" fontId="4" fillId="3" borderId="2" xfId="0" applyNumberFormat="1" applyFont="1" applyFill="1" applyBorder="1" applyAlignment="1" applyProtection="1">
      <alignment horizontal="center" textRotation="90"/>
    </xf>
    <xf numFmtId="170" fontId="4" fillId="3" borderId="3" xfId="0" applyNumberFormat="1" applyFont="1" applyFill="1" applyBorder="1" applyAlignment="1" applyProtection="1">
      <alignment horizontal="center" textRotation="90"/>
    </xf>
    <xf numFmtId="49" fontId="4" fillId="4" borderId="15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57" xfId="0" applyNumberFormat="1" applyFont="1" applyFill="1" applyBorder="1" applyAlignment="1" applyProtection="1">
      <alignment vertical="center"/>
    </xf>
    <xf numFmtId="1" fontId="0" fillId="3" borderId="51" xfId="0" applyNumberFormat="1" applyFill="1" applyBorder="1" applyAlignment="1" applyProtection="1">
      <alignment horizontal="left" vertical="center" indent="1"/>
    </xf>
    <xf numFmtId="0" fontId="0" fillId="3" borderId="56" xfId="0" applyFill="1" applyBorder="1" applyAlignment="1" applyProtection="1">
      <alignment vertical="center"/>
    </xf>
    <xf numFmtId="0" fontId="1" fillId="5" borderId="14" xfId="0" applyFont="1" applyFill="1" applyBorder="1" applyAlignment="1" applyProtection="1">
      <alignment horizontal="center" vertical="center"/>
    </xf>
    <xf numFmtId="0" fontId="0" fillId="3" borderId="48" xfId="0" applyFill="1" applyBorder="1" applyAlignment="1" applyProtection="1">
      <alignment horizontal="left" vertical="center" indent="1"/>
    </xf>
    <xf numFmtId="0" fontId="0" fillId="4" borderId="20" xfId="0" applyFont="1" applyFill="1" applyBorder="1" applyAlignment="1" applyProtection="1">
      <alignment horizontal="left" vertical="center" wrapText="1" indent="1"/>
      <protection locked="0"/>
    </xf>
    <xf numFmtId="0" fontId="0" fillId="4" borderId="21" xfId="0" applyFont="1" applyFill="1" applyBorder="1" applyAlignment="1" applyProtection="1">
      <alignment horizontal="left" vertical="center" wrapText="1" indent="1"/>
      <protection locked="0"/>
    </xf>
    <xf numFmtId="0" fontId="0" fillId="4" borderId="37" xfId="0" applyFont="1" applyFill="1" applyBorder="1" applyAlignment="1" applyProtection="1">
      <alignment horizontal="left" vertical="center" wrapText="1" indent="1"/>
      <protection locked="0"/>
    </xf>
    <xf numFmtId="0" fontId="0" fillId="4" borderId="22" xfId="0" applyFont="1" applyFill="1" applyBorder="1" applyAlignment="1" applyProtection="1">
      <alignment horizontal="left" vertical="center" wrapText="1" indent="1"/>
      <protection locked="0"/>
    </xf>
    <xf numFmtId="0" fontId="0" fillId="4" borderId="39" xfId="0" applyFont="1" applyFill="1" applyBorder="1" applyAlignment="1" applyProtection="1">
      <alignment horizontal="left" vertical="center" wrapText="1" indent="1"/>
      <protection locked="0"/>
    </xf>
    <xf numFmtId="0" fontId="27" fillId="4" borderId="66" xfId="1" applyNumberFormat="1" applyFont="1" applyFill="1" applyBorder="1" applyAlignment="1" applyProtection="1">
      <alignment horizontal="left" vertical="center" indent="1"/>
      <protection locked="0"/>
    </xf>
    <xf numFmtId="0" fontId="27" fillId="4" borderId="1" xfId="1" applyNumberFormat="1" applyFont="1" applyFill="1" applyBorder="1" applyAlignment="1" applyProtection="1">
      <alignment horizontal="left" vertical="center" indent="1"/>
      <protection locked="0"/>
    </xf>
    <xf numFmtId="0" fontId="27" fillId="4" borderId="4" xfId="1" applyNumberFormat="1" applyFont="1" applyFill="1" applyBorder="1" applyAlignment="1" applyProtection="1">
      <alignment horizontal="left" vertical="center" indent="1"/>
      <protection locked="0"/>
    </xf>
    <xf numFmtId="168" fontId="14" fillId="6" borderId="0" xfId="0" applyNumberFormat="1" applyFont="1" applyFill="1" applyBorder="1" applyAlignment="1" applyProtection="1">
      <alignment horizontal="right" vertical="center" shrinkToFit="1"/>
    </xf>
    <xf numFmtId="164" fontId="14" fillId="6" borderId="0" xfId="0" applyNumberFormat="1" applyFont="1" applyFill="1" applyBorder="1" applyAlignment="1" applyProtection="1">
      <alignment horizontal="left" vertical="center" shrinkToFit="1"/>
    </xf>
    <xf numFmtId="0" fontId="14" fillId="6" borderId="0" xfId="0" applyFont="1" applyFill="1" applyBorder="1" applyAlignment="1" applyProtection="1">
      <alignment horizontal="left" vertical="center" wrapText="1"/>
    </xf>
    <xf numFmtId="0" fontId="14" fillId="6" borderId="0" xfId="0" applyFont="1" applyFill="1" applyBorder="1" applyAlignment="1" applyProtection="1">
      <alignment horizontal="left" vertical="center"/>
    </xf>
    <xf numFmtId="166" fontId="14" fillId="6" borderId="0" xfId="0" applyNumberFormat="1" applyFont="1" applyFill="1" applyBorder="1" applyAlignment="1" applyProtection="1">
      <alignment horizontal="left" vertical="center" shrinkToFit="1"/>
    </xf>
    <xf numFmtId="49" fontId="36" fillId="0" borderId="50" xfId="0" applyNumberFormat="1" applyFont="1" applyFill="1" applyBorder="1" applyAlignment="1" applyProtection="1">
      <alignment horizontal="left" indent="1"/>
      <protection locked="0"/>
    </xf>
    <xf numFmtId="49" fontId="0" fillId="0" borderId="47" xfId="0" applyNumberFormat="1" applyFont="1" applyFill="1" applyBorder="1" applyAlignment="1" applyProtection="1">
      <alignment horizontal="center" vertical="top" wrapText="1"/>
      <protection locked="0"/>
    </xf>
    <xf numFmtId="49" fontId="0" fillId="0" borderId="50" xfId="0" applyNumberFormat="1" applyFont="1" applyFill="1" applyBorder="1" applyAlignment="1" applyProtection="1">
      <alignment horizontal="center" vertical="top"/>
      <protection locked="0"/>
    </xf>
    <xf numFmtId="171" fontId="1" fillId="3" borderId="54" xfId="0" applyNumberFormat="1" applyFont="1" applyFill="1" applyBorder="1" applyAlignment="1" applyProtection="1">
      <alignment horizontal="left" vertical="center" indent="1"/>
    </xf>
    <xf numFmtId="49" fontId="1" fillId="3" borderId="19" xfId="0" applyNumberFormat="1" applyFont="1" applyFill="1" applyBorder="1" applyAlignment="1" applyProtection="1">
      <alignment horizontal="center" vertical="center"/>
    </xf>
    <xf numFmtId="49" fontId="29" fillId="0" borderId="2" xfId="0" applyNumberFormat="1" applyFont="1" applyFill="1" applyBorder="1" applyAlignment="1" applyProtection="1">
      <alignment horizontal="center" vertical="top"/>
      <protection locked="0"/>
    </xf>
    <xf numFmtId="49" fontId="0" fillId="0" borderId="62" xfId="0" applyNumberFormat="1" applyFont="1" applyFill="1" applyBorder="1" applyAlignment="1" applyProtection="1">
      <alignment horizontal="center" vertical="top"/>
      <protection locked="0"/>
    </xf>
    <xf numFmtId="49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50" xfId="0" quotePrefix="1" applyNumberFormat="1" applyFont="1" applyFill="1" applyBorder="1" applyAlignment="1" applyProtection="1">
      <alignment horizontal="left" indent="1"/>
      <protection locked="0"/>
    </xf>
    <xf numFmtId="10" fontId="27" fillId="3" borderId="4" xfId="1" applyNumberFormat="1" applyFont="1" applyFill="1" applyBorder="1" applyAlignment="1" applyProtection="1">
      <alignment horizontal="left" vertical="center" indent="1"/>
    </xf>
    <xf numFmtId="166" fontId="27" fillId="3" borderId="6" xfId="0" quotePrefix="1" applyNumberFormat="1" applyFont="1" applyFill="1" applyBorder="1" applyAlignment="1" applyProtection="1">
      <alignment horizontal="center" vertical="center"/>
    </xf>
    <xf numFmtId="1" fontId="27" fillId="8" borderId="67" xfId="0" applyNumberFormat="1" applyFont="1" applyFill="1" applyBorder="1" applyAlignment="1" applyProtection="1">
      <alignment horizontal="center" vertical="center"/>
      <protection locked="0"/>
    </xf>
    <xf numFmtId="1" fontId="27" fillId="8" borderId="3" xfId="0" applyNumberFormat="1" applyFont="1" applyFill="1" applyBorder="1" applyAlignment="1" applyProtection="1">
      <alignment horizontal="center" vertical="center"/>
      <protection locked="0"/>
    </xf>
    <xf numFmtId="1" fontId="27" fillId="8" borderId="6" xfId="0" applyNumberFormat="1" applyFont="1" applyFill="1" applyBorder="1" applyAlignment="1" applyProtection="1">
      <alignment horizontal="center" vertical="center"/>
      <protection locked="0"/>
    </xf>
    <xf numFmtId="1" fontId="27" fillId="8" borderId="16" xfId="0" applyNumberFormat="1" applyFont="1" applyFill="1" applyBorder="1" applyAlignment="1" applyProtection="1">
      <alignment horizontal="center" vertical="center"/>
    </xf>
    <xf numFmtId="1" fontId="27" fillId="8" borderId="3" xfId="0" applyNumberFormat="1" applyFont="1" applyFill="1" applyBorder="1" applyAlignment="1" applyProtection="1">
      <alignment horizontal="center" vertical="center"/>
    </xf>
    <xf numFmtId="1" fontId="27" fillId="8" borderId="6" xfId="0" applyNumberFormat="1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right" vertical="center"/>
    </xf>
    <xf numFmtId="172" fontId="0" fillId="4" borderId="68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</xf>
    <xf numFmtId="166" fontId="27" fillId="8" borderId="69" xfId="0" applyNumberFormat="1" applyFont="1" applyFill="1" applyBorder="1" applyAlignment="1">
      <alignment horizontal="center" vertical="center"/>
    </xf>
    <xf numFmtId="0" fontId="0" fillId="3" borderId="46" xfId="0" applyNumberFormat="1" applyFont="1" applyFill="1" applyBorder="1" applyAlignment="1" applyProtection="1">
      <alignment horizontal="left" vertical="center" indent="1"/>
    </xf>
    <xf numFmtId="0" fontId="0" fillId="3" borderId="41" xfId="0" applyNumberFormat="1" applyFont="1" applyFill="1" applyBorder="1" applyAlignment="1" applyProtection="1">
      <alignment vertical="center"/>
    </xf>
    <xf numFmtId="166" fontId="0" fillId="3" borderId="3" xfId="0" applyNumberFormat="1" applyFill="1" applyBorder="1" applyAlignment="1" applyProtection="1">
      <alignment horizontal="left" vertical="center" indent="1"/>
    </xf>
    <xf numFmtId="49" fontId="0" fillId="0" borderId="50" xfId="0" quotePrefix="1" applyNumberFormat="1" applyFont="1" applyFill="1" applyBorder="1" applyAlignment="1" applyProtection="1">
      <alignment horizontal="left" indent="1"/>
      <protection locked="0"/>
    </xf>
    <xf numFmtId="171" fontId="1" fillId="3" borderId="48" xfId="0" applyNumberFormat="1" applyFont="1" applyFill="1" applyBorder="1" applyAlignment="1" applyProtection="1">
      <alignment horizontal="left" vertical="center" indent="1"/>
    </xf>
    <xf numFmtId="0" fontId="0" fillId="3" borderId="50" xfId="0" applyFont="1" applyFill="1" applyBorder="1" applyAlignment="1" applyProtection="1">
      <alignment horizontal="left" vertical="center" indent="1"/>
    </xf>
    <xf numFmtId="0" fontId="0" fillId="3" borderId="57" xfId="0" applyFont="1" applyFill="1" applyBorder="1" applyAlignment="1" applyProtection="1">
      <alignment horizontal="left" vertical="center" indent="1"/>
    </xf>
    <xf numFmtId="166" fontId="27" fillId="3" borderId="3" xfId="0" applyNumberFormat="1" applyFont="1" applyFill="1" applyBorder="1" applyAlignment="1" applyProtection="1">
      <alignment horizontal="left" vertical="center" indent="1"/>
    </xf>
    <xf numFmtId="166" fontId="20" fillId="3" borderId="6" xfId="0" applyNumberFormat="1" applyFont="1" applyFill="1" applyBorder="1" applyAlignment="1" applyProtection="1">
      <alignment horizontal="left" vertical="center" indent="1"/>
    </xf>
    <xf numFmtId="10" fontId="27" fillId="4" borderId="1" xfId="1" applyNumberFormat="1" applyFont="1" applyFill="1" applyBorder="1" applyAlignment="1" applyProtection="1">
      <alignment horizontal="right" vertical="center" indent="2"/>
      <protection locked="0"/>
    </xf>
    <xf numFmtId="10" fontId="27" fillId="4" borderId="36" xfId="1" applyNumberFormat="1" applyFont="1" applyFill="1" applyBorder="1" applyAlignment="1" applyProtection="1">
      <alignment horizontal="right" vertical="center" indent="2"/>
      <protection locked="0"/>
    </xf>
    <xf numFmtId="10" fontId="27" fillId="4" borderId="4" xfId="1" applyNumberFormat="1" applyFont="1" applyFill="1" applyBorder="1" applyAlignment="1" applyProtection="1">
      <alignment horizontal="right" vertical="center" indent="2"/>
      <protection locked="0"/>
    </xf>
    <xf numFmtId="173" fontId="0" fillId="4" borderId="56" xfId="0" applyNumberFormat="1" applyFont="1" applyFill="1" applyBorder="1" applyAlignment="1" applyProtection="1">
      <alignment horizontal="center" vertical="center"/>
      <protection locked="0"/>
    </xf>
    <xf numFmtId="0" fontId="37" fillId="3" borderId="0" xfId="0" applyFont="1" applyFill="1" applyAlignment="1">
      <alignment vertical="center"/>
    </xf>
    <xf numFmtId="168" fontId="14" fillId="6" borderId="0" xfId="0" applyNumberFormat="1" applyFont="1" applyFill="1" applyBorder="1" applyAlignment="1" applyProtection="1">
      <alignment horizontal="right" vertical="center"/>
    </xf>
    <xf numFmtId="0" fontId="14" fillId="6" borderId="0" xfId="0" applyFont="1" applyFill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 indent="1"/>
    </xf>
    <xf numFmtId="49" fontId="38" fillId="0" borderId="50" xfId="0" quotePrefix="1" applyNumberFormat="1" applyFont="1" applyFill="1" applyBorder="1" applyAlignment="1" applyProtection="1">
      <alignment horizontal="left" indent="1"/>
      <protection locked="0"/>
    </xf>
    <xf numFmtId="165" fontId="4" fillId="3" borderId="2" xfId="0" applyNumberFormat="1" applyFont="1" applyFill="1" applyBorder="1" applyAlignment="1" applyProtection="1">
      <alignment horizontal="center" textRotation="90"/>
    </xf>
    <xf numFmtId="0" fontId="12" fillId="6" borderId="46" xfId="0" applyFont="1" applyFill="1" applyBorder="1" applyAlignment="1" applyProtection="1">
      <alignment shrinkToFit="1"/>
    </xf>
    <xf numFmtId="49" fontId="41" fillId="0" borderId="50" xfId="0" applyNumberFormat="1" applyFont="1" applyFill="1" applyBorder="1" applyAlignment="1" applyProtection="1">
      <alignment horizontal="left" indent="1"/>
      <protection locked="0"/>
    </xf>
    <xf numFmtId="0" fontId="14" fillId="6" borderId="0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7" borderId="50" xfId="0" applyFont="1" applyFill="1" applyBorder="1" applyAlignment="1" applyProtection="1">
      <alignment horizontal="left" vertical="center" wrapText="1" indent="2" shrinkToFit="1"/>
      <protection locked="0"/>
    </xf>
    <xf numFmtId="0" fontId="14" fillId="7" borderId="65" xfId="0" applyFont="1" applyFill="1" applyBorder="1" applyAlignment="1" applyProtection="1">
      <alignment horizontal="left" vertical="center" wrapText="1" indent="2" shrinkToFit="1"/>
      <protection locked="0"/>
    </xf>
    <xf numFmtId="0" fontId="14" fillId="7" borderId="61" xfId="0" applyFont="1" applyFill="1" applyBorder="1" applyAlignment="1" applyProtection="1">
      <alignment horizontal="left" vertical="center" wrapText="1" indent="2" shrinkToFit="1"/>
      <protection locked="0"/>
    </xf>
    <xf numFmtId="0" fontId="12" fillId="6" borderId="0" xfId="0" applyFont="1" applyFill="1" applyBorder="1" applyAlignment="1">
      <alignment horizontal="left" vertical="top" wrapText="1"/>
    </xf>
    <xf numFmtId="0" fontId="33" fillId="6" borderId="0" xfId="0" applyFont="1" applyFill="1" applyBorder="1" applyAlignment="1">
      <alignment horizontal="left" vertical="center" shrinkToFit="1"/>
    </xf>
    <xf numFmtId="0" fontId="4" fillId="6" borderId="11" xfId="0" applyFont="1" applyFill="1" applyBorder="1" applyAlignment="1">
      <alignment horizontal="left" vertical="top"/>
    </xf>
    <xf numFmtId="0" fontId="17" fillId="4" borderId="50" xfId="0" applyFont="1" applyFill="1" applyBorder="1" applyAlignment="1" applyProtection="1">
      <alignment horizontal="center" vertical="center" wrapText="1"/>
      <protection locked="0"/>
    </xf>
    <xf numFmtId="0" fontId="17" fillId="4" borderId="61" xfId="0" applyFont="1" applyFill="1" applyBorder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 wrapText="1"/>
    </xf>
    <xf numFmtId="169" fontId="12" fillId="6" borderId="7" xfId="0" applyNumberFormat="1" applyFont="1" applyFill="1" applyBorder="1" applyAlignment="1">
      <alignment horizontal="left" vertical="center"/>
    </xf>
    <xf numFmtId="169" fontId="12" fillId="6" borderId="8" xfId="0" applyNumberFormat="1" applyFont="1" applyFill="1" applyBorder="1" applyAlignment="1">
      <alignment horizontal="left" vertical="center"/>
    </xf>
    <xf numFmtId="0" fontId="28" fillId="6" borderId="8" xfId="0" applyFont="1" applyFill="1" applyBorder="1" applyAlignment="1">
      <alignment horizontal="left" vertical="center" indent="1"/>
    </xf>
    <xf numFmtId="0" fontId="28" fillId="6" borderId="9" xfId="0" applyFont="1" applyFill="1" applyBorder="1" applyAlignment="1">
      <alignment horizontal="left" vertical="center" indent="1"/>
    </xf>
    <xf numFmtId="0" fontId="12" fillId="6" borderId="28" xfId="0" applyNumberFormat="1" applyFont="1" applyFill="1" applyBorder="1" applyAlignment="1">
      <alignment horizontal="center" vertical="center"/>
    </xf>
    <xf numFmtId="0" fontId="12" fillId="6" borderId="26" xfId="0" applyNumberFormat="1" applyFont="1" applyFill="1" applyBorder="1" applyAlignment="1">
      <alignment horizontal="center" vertical="center"/>
    </xf>
    <xf numFmtId="0" fontId="12" fillId="6" borderId="27" xfId="0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/>
    </xf>
    <xf numFmtId="165" fontId="15" fillId="4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15" fillId="4" borderId="0" xfId="0" applyFont="1" applyFill="1" applyAlignment="1" applyProtection="1">
      <alignment horizontal="left" vertical="top" wrapText="1" indent="1"/>
      <protection locked="0"/>
    </xf>
    <xf numFmtId="0" fontId="15" fillId="4" borderId="11" xfId="0" applyFont="1" applyFill="1" applyBorder="1" applyAlignment="1" applyProtection="1">
      <alignment horizontal="left" vertical="top" wrapText="1" indent="1"/>
      <protection locked="0"/>
    </xf>
    <xf numFmtId="0" fontId="14" fillId="6" borderId="0" xfId="0" applyFont="1" applyFill="1" applyBorder="1" applyAlignment="1" applyProtection="1">
      <alignment horizontal="left" vertical="top"/>
    </xf>
    <xf numFmtId="166" fontId="25" fillId="6" borderId="13" xfId="0" applyNumberFormat="1" applyFont="1" applyFill="1" applyBorder="1" applyAlignment="1" applyProtection="1">
      <alignment horizontal="center" shrinkToFit="1"/>
    </xf>
    <xf numFmtId="166" fontId="25" fillId="6" borderId="47" xfId="0" applyNumberFormat="1" applyFont="1" applyFill="1" applyBorder="1" applyAlignment="1" applyProtection="1">
      <alignment horizontal="center" shrinkToFit="1"/>
    </xf>
    <xf numFmtId="166" fontId="40" fillId="6" borderId="70" xfId="0" applyNumberFormat="1" applyFont="1" applyFill="1" applyBorder="1" applyAlignment="1" applyProtection="1">
      <alignment horizontal="center" vertical="top" wrapText="1"/>
    </xf>
    <xf numFmtId="166" fontId="40" fillId="6" borderId="18" xfId="0" applyNumberFormat="1" applyFont="1" applyFill="1" applyBorder="1" applyAlignment="1" applyProtection="1">
      <alignment horizontal="center" vertical="top" wrapText="1"/>
    </xf>
    <xf numFmtId="166" fontId="40" fillId="6" borderId="62" xfId="0" applyNumberFormat="1" applyFont="1" applyFill="1" applyBorder="1" applyAlignment="1" applyProtection="1">
      <alignment horizontal="center" vertical="top" wrapText="1"/>
    </xf>
    <xf numFmtId="0" fontId="14" fillId="6" borderId="37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left" vertical="top" wrapText="1" shrinkToFit="1"/>
    </xf>
    <xf numFmtId="165" fontId="18" fillId="6" borderId="0" xfId="0" applyNumberFormat="1" applyFont="1" applyFill="1" applyBorder="1" applyAlignment="1">
      <alignment horizontal="left" vertical="center" shrinkToFit="1"/>
    </xf>
    <xf numFmtId="0" fontId="0" fillId="4" borderId="32" xfId="0" applyFont="1" applyFill="1" applyBorder="1" applyAlignment="1" applyProtection="1">
      <alignment horizontal="center" vertical="center"/>
      <protection locked="0"/>
    </xf>
    <xf numFmtId="0" fontId="0" fillId="4" borderId="33" xfId="0" applyFont="1" applyFill="1" applyBorder="1" applyAlignment="1" applyProtection="1">
      <alignment horizontal="center" vertical="center"/>
      <protection locked="0"/>
    </xf>
    <xf numFmtId="0" fontId="0" fillId="4" borderId="34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horizontal="left" vertical="center" wrapText="1" indent="1"/>
      <protection locked="0"/>
    </xf>
    <xf numFmtId="0" fontId="0" fillId="4" borderId="29" xfId="0" applyFont="1" applyFill="1" applyBorder="1" applyAlignment="1" applyProtection="1">
      <alignment horizontal="left" vertical="center" wrapText="1" indent="1"/>
      <protection locked="0"/>
    </xf>
    <xf numFmtId="0" fontId="0" fillId="4" borderId="30" xfId="0" applyFont="1" applyFill="1" applyBorder="1" applyAlignment="1" applyProtection="1">
      <alignment horizontal="left" vertical="center" wrapText="1" indent="1"/>
      <protection locked="0"/>
    </xf>
    <xf numFmtId="0" fontId="0" fillId="4" borderId="7" xfId="0" applyFont="1" applyFill="1" applyBorder="1" applyAlignment="1" applyProtection="1">
      <alignment horizontal="left" vertical="center" wrapText="1" indent="1"/>
      <protection locked="0"/>
    </xf>
    <xf numFmtId="0" fontId="0" fillId="4" borderId="10" xfId="0" applyFont="1" applyFill="1" applyBorder="1" applyAlignment="1" applyProtection="1">
      <alignment horizontal="left" vertical="center" wrapText="1" indent="1"/>
      <protection locked="0"/>
    </xf>
    <xf numFmtId="0" fontId="0" fillId="4" borderId="28" xfId="0" applyFont="1" applyFill="1" applyBorder="1" applyAlignment="1" applyProtection="1">
      <alignment horizontal="left" vertical="center" wrapText="1" indent="1"/>
      <protection locked="0"/>
    </xf>
    <xf numFmtId="2" fontId="0" fillId="3" borderId="32" xfId="0" applyNumberFormat="1" applyFont="1" applyFill="1" applyBorder="1" applyAlignment="1" applyProtection="1">
      <alignment horizontal="center" vertical="center"/>
    </xf>
    <xf numFmtId="2" fontId="0" fillId="3" borderId="33" xfId="0" applyNumberFormat="1" applyFont="1" applyFill="1" applyBorder="1" applyAlignment="1" applyProtection="1">
      <alignment horizontal="center" vertical="center"/>
    </xf>
    <xf numFmtId="2" fontId="0" fillId="3" borderId="34" xfId="0" applyNumberFormat="1" applyFont="1" applyFill="1" applyBorder="1" applyAlignment="1" applyProtection="1">
      <alignment horizontal="center" vertical="center"/>
    </xf>
    <xf numFmtId="0" fontId="0" fillId="4" borderId="64" xfId="0" applyFont="1" applyFill="1" applyBorder="1" applyAlignment="1" applyProtection="1">
      <alignment horizontal="center" vertical="center"/>
      <protection locked="0"/>
    </xf>
    <xf numFmtId="0" fontId="0" fillId="8" borderId="64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20" fillId="3" borderId="23" xfId="0" applyNumberFormat="1" applyFont="1" applyFill="1" applyBorder="1" applyAlignment="1">
      <alignment horizontal="center" vertical="center"/>
    </xf>
    <xf numFmtId="0" fontId="20" fillId="3" borderId="24" xfId="0" applyNumberFormat="1" applyFont="1" applyFill="1" applyBorder="1" applyAlignment="1">
      <alignment horizontal="center" vertical="center"/>
    </xf>
    <xf numFmtId="0" fontId="20" fillId="3" borderId="25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166" fontId="20" fillId="3" borderId="17" xfId="0" applyNumberFormat="1" applyFont="1" applyFill="1" applyBorder="1" applyAlignment="1">
      <alignment horizontal="center" vertical="center"/>
    </xf>
    <xf numFmtId="166" fontId="20" fillId="3" borderId="18" xfId="0" applyNumberFormat="1" applyFont="1" applyFill="1" applyBorder="1" applyAlignment="1">
      <alignment horizontal="center" vertical="center"/>
    </xf>
    <xf numFmtId="166" fontId="20" fillId="3" borderId="19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left" vertical="center" wrapText="1" indent="1"/>
    </xf>
    <xf numFmtId="0" fontId="18" fillId="3" borderId="29" xfId="0" applyFont="1" applyFill="1" applyBorder="1" applyAlignment="1">
      <alignment horizontal="left" vertical="center" wrapText="1" indent="1"/>
    </xf>
    <xf numFmtId="0" fontId="18" fillId="3" borderId="30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center" vertical="center" textRotation="90" wrapText="1"/>
    </xf>
    <xf numFmtId="0" fontId="2" fillId="3" borderId="24" xfId="0" applyFont="1" applyFill="1" applyBorder="1" applyAlignment="1">
      <alignment horizontal="center" vertical="center" textRotation="90" wrapText="1"/>
    </xf>
    <xf numFmtId="0" fontId="2" fillId="3" borderId="25" xfId="0" applyFont="1" applyFill="1" applyBorder="1" applyAlignment="1">
      <alignment horizontal="center" vertical="center" textRotation="90" wrapText="1"/>
    </xf>
    <xf numFmtId="0" fontId="2" fillId="3" borderId="23" xfId="0" applyFont="1" applyFill="1" applyBorder="1" applyAlignment="1">
      <alignment horizontal="center" vertical="center" textRotation="90"/>
    </xf>
    <xf numFmtId="0" fontId="2" fillId="3" borderId="24" xfId="0" applyFont="1" applyFill="1" applyBorder="1" applyAlignment="1">
      <alignment horizontal="center" vertical="center" textRotation="90"/>
    </xf>
    <xf numFmtId="0" fontId="2" fillId="3" borderId="25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 textRotation="90"/>
    </xf>
    <xf numFmtId="0" fontId="2" fillId="3" borderId="53" xfId="0" applyFont="1" applyFill="1" applyBorder="1" applyAlignment="1">
      <alignment horizontal="center" vertical="center" textRotation="90"/>
    </xf>
    <xf numFmtId="0" fontId="2" fillId="3" borderId="54" xfId="0" applyFont="1" applyFill="1" applyBorder="1" applyAlignment="1">
      <alignment horizontal="center" vertical="center" textRotation="90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32" xfId="0" applyFont="1" applyFill="1" applyBorder="1" applyAlignment="1">
      <alignment horizontal="center" vertical="center" textRotation="90"/>
    </xf>
    <xf numFmtId="0" fontId="2" fillId="3" borderId="33" xfId="0" applyFont="1" applyFill="1" applyBorder="1" applyAlignment="1">
      <alignment horizontal="center" vertical="center" textRotation="90"/>
    </xf>
    <xf numFmtId="0" fontId="2" fillId="3" borderId="34" xfId="0" applyFont="1" applyFill="1" applyBorder="1" applyAlignment="1">
      <alignment horizontal="center" vertical="center" textRotation="90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38" xfId="0" applyFont="1" applyFill="1" applyBorder="1" applyAlignment="1">
      <alignment horizontal="center" vertical="center" textRotation="90"/>
    </xf>
    <xf numFmtId="0" fontId="2" fillId="3" borderId="27" xfId="0" applyFont="1" applyFill="1" applyBorder="1" applyAlignment="1">
      <alignment horizontal="center" vertical="center" textRotation="90"/>
    </xf>
    <xf numFmtId="0" fontId="2" fillId="3" borderId="60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59" xfId="0" applyFont="1" applyFill="1" applyBorder="1" applyAlignment="1">
      <alignment horizontal="center" vertical="center" textRotation="90" wrapText="1"/>
    </xf>
    <xf numFmtId="0" fontId="1" fillId="3" borderId="6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59" xfId="0" applyFont="1" applyFill="1" applyBorder="1" applyAlignment="1" applyProtection="1">
      <alignment horizontal="center" vertical="center"/>
    </xf>
    <xf numFmtId="173" fontId="0" fillId="3" borderId="50" xfId="0" applyNumberFormat="1" applyFill="1" applyBorder="1" applyAlignment="1" applyProtection="1">
      <alignment horizontal="left" vertical="center" indent="1"/>
    </xf>
    <xf numFmtId="173" fontId="0" fillId="3" borderId="57" xfId="0" applyNumberFormat="1" applyFill="1" applyBorder="1" applyAlignment="1" applyProtection="1">
      <alignment horizontal="left" vertical="center" indent="1"/>
    </xf>
    <xf numFmtId="49" fontId="0" fillId="4" borderId="51" xfId="0" applyNumberFormat="1" applyFont="1" applyFill="1" applyBorder="1" applyAlignment="1" applyProtection="1">
      <alignment horizontal="left" vertical="center" indent="1"/>
      <protection locked="0"/>
    </xf>
    <xf numFmtId="49" fontId="0" fillId="4" borderId="58" xfId="0" applyNumberFormat="1" applyFont="1" applyFill="1" applyBorder="1" applyAlignment="1" applyProtection="1">
      <alignment horizontal="left" vertical="center" indent="1"/>
      <protection locked="0"/>
    </xf>
    <xf numFmtId="1" fontId="0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1" fontId="0" fillId="4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43" xfId="0" applyFont="1" applyFill="1" applyBorder="1" applyAlignment="1" applyProtection="1">
      <alignment horizontal="center" vertical="center" wrapText="1"/>
    </xf>
    <xf numFmtId="0" fontId="0" fillId="3" borderId="50" xfId="0" applyNumberFormat="1" applyFont="1" applyFill="1" applyBorder="1" applyAlignment="1" applyProtection="1">
      <alignment horizontal="left" vertical="center" indent="1"/>
    </xf>
    <xf numFmtId="0" fontId="0" fillId="3" borderId="57" xfId="0" applyNumberFormat="1" applyFont="1" applyFill="1" applyBorder="1" applyAlignment="1" applyProtection="1">
      <alignment horizontal="left" vertical="center" inden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44" xfId="0" applyFont="1" applyFill="1" applyBorder="1" applyAlignment="1" applyProtection="1">
      <alignment horizontal="center" vertical="center" wrapText="1"/>
    </xf>
    <xf numFmtId="0" fontId="0" fillId="3" borderId="49" xfId="0" applyFont="1" applyFill="1" applyBorder="1" applyAlignment="1" applyProtection="1">
      <alignment horizontal="left" vertical="center" indent="1"/>
    </xf>
    <xf numFmtId="0" fontId="0" fillId="3" borderId="45" xfId="0" applyFont="1" applyFill="1" applyBorder="1" applyAlignment="1" applyProtection="1">
      <alignment horizontal="left" vertical="center" indent="1"/>
    </xf>
    <xf numFmtId="0" fontId="11" fillId="2" borderId="0" xfId="0" applyFont="1" applyFill="1" applyAlignment="1" applyProtection="1">
      <alignment horizontal="left"/>
    </xf>
    <xf numFmtId="49" fontId="0" fillId="0" borderId="50" xfId="0" quotePrefix="1" applyNumberFormat="1" applyFont="1" applyFill="1" applyBorder="1" applyAlignment="1" applyProtection="1">
      <alignment horizontal="left" wrapText="1" indent="1"/>
      <protection locked="0"/>
    </xf>
    <xf numFmtId="171" fontId="41" fillId="0" borderId="61" xfId="0" applyNumberFormat="1" applyFont="1" applyFill="1" applyBorder="1" applyAlignment="1" applyProtection="1">
      <alignment horizontal="left" vertical="top"/>
      <protection locked="0"/>
    </xf>
    <xf numFmtId="49" fontId="41" fillId="0" borderId="2" xfId="0" applyNumberFormat="1" applyFont="1" applyFill="1" applyBorder="1" applyAlignment="1" applyProtection="1">
      <alignment horizontal="center" vertical="top"/>
      <protection locked="0"/>
    </xf>
    <xf numFmtId="49" fontId="41" fillId="0" borderId="50" xfId="0" applyNumberFormat="1" applyFont="1" applyFill="1" applyBorder="1" applyAlignment="1" applyProtection="1">
      <alignment horizontal="center" vertical="top"/>
      <protection locked="0"/>
    </xf>
    <xf numFmtId="171" fontId="38" fillId="0" borderId="61" xfId="0" applyNumberFormat="1" applyFont="1" applyFill="1" applyBorder="1" applyAlignment="1" applyProtection="1">
      <alignment horizontal="left" vertical="top"/>
      <protection locked="0"/>
    </xf>
    <xf numFmtId="171" fontId="0" fillId="0" borderId="61" xfId="0" applyNumberFormat="1" applyFont="1" applyFill="1" applyBorder="1" applyAlignment="1" applyProtection="1">
      <alignment horizontal="left" vertical="top"/>
      <protection locked="0"/>
    </xf>
    <xf numFmtId="49" fontId="38" fillId="0" borderId="2" xfId="0" applyNumberFormat="1" applyFont="1" applyFill="1" applyBorder="1" applyAlignment="1" applyProtection="1">
      <alignment horizontal="center" vertical="top"/>
      <protection locked="0"/>
    </xf>
    <xf numFmtId="49" fontId="38" fillId="0" borderId="50" xfId="0" applyNumberFormat="1" applyFont="1" applyFill="1" applyBorder="1" applyAlignment="1" applyProtection="1">
      <alignment horizontal="center" vertical="top"/>
      <protection locked="0"/>
    </xf>
    <xf numFmtId="171" fontId="36" fillId="0" borderId="61" xfId="0" applyNumberFormat="1" applyFont="1" applyFill="1" applyBorder="1" applyAlignment="1" applyProtection="1">
      <alignment horizontal="left" vertical="top"/>
      <protection locked="0"/>
    </xf>
    <xf numFmtId="49" fontId="36" fillId="0" borderId="2" xfId="0" applyNumberFormat="1" applyFont="1" applyFill="1" applyBorder="1" applyAlignment="1" applyProtection="1">
      <alignment horizontal="center" vertical="top"/>
      <protection locked="0"/>
    </xf>
    <xf numFmtId="171" fontId="29" fillId="0" borderId="61" xfId="0" applyNumberFormat="1" applyFont="1" applyFill="1" applyBorder="1" applyAlignment="1" applyProtection="1">
      <alignment horizontal="left" vertical="top"/>
      <protection locked="0"/>
    </xf>
    <xf numFmtId="171" fontId="0" fillId="0" borderId="63" xfId="0" applyNumberFormat="1" applyFont="1" applyFill="1" applyBorder="1" applyAlignment="1" applyProtection="1">
      <alignment horizontal="left" vertical="top"/>
      <protection locked="0"/>
    </xf>
  </cellXfs>
  <cellStyles count="2">
    <cellStyle name="Prozent" xfId="1" builtinId="5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1" formatCode="dd/mm/yy;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lor theme="0" tint="-0.24994659260841701"/>
      </font>
      <fill>
        <patternFill>
          <bgColor theme="3" tint="0.79998168889431442"/>
        </patternFill>
      </fill>
    </dxf>
    <dxf>
      <font>
        <b val="0"/>
        <i val="0"/>
        <strike val="0"/>
        <color theme="0" tint="-0.24994659260841701"/>
      </font>
      <fill>
        <patternFill>
          <bgColor theme="3" tint="0.79998168889431442"/>
        </patternFill>
      </fill>
    </dxf>
    <dxf>
      <font>
        <color theme="4" tint="0.79998168889431442"/>
      </font>
      <border>
        <right/>
        <top/>
        <bottom/>
        <vertical/>
        <horizontal/>
      </border>
    </dxf>
  </dxfs>
  <tableStyles count="1" defaultTableStyle="TableStyleMedium2" defaultPivotStyle="PivotStyleLight16">
    <tableStyle name="Einfache Tabelle mit grauem Kopf" pivot="0" count="0"/>
  </tableStyles>
  <colors>
    <mruColors>
      <color rgb="FFFFFFCC"/>
      <color rgb="FFF8F8F8"/>
      <color rgb="FF00863D"/>
      <color rgb="FFDA7200"/>
      <color rgb="FFDAB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7620</xdr:rowOff>
        </xdr:from>
        <xdr:to>
          <xdr:col>10</xdr:col>
          <xdr:colOff>480060</xdr:colOff>
          <xdr:row>38</xdr:row>
          <xdr:rowOff>647700</xdr:rowOff>
        </xdr:to>
        <xdr:sp macro="" textlink="">
          <xdr:nvSpPr>
            <xdr:cNvPr id="1077" name="TextBox_Anmerkungen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13061</xdr:colOff>
      <xdr:row>19</xdr:row>
      <xdr:rowOff>729411</xdr:rowOff>
    </xdr:from>
    <xdr:to>
      <xdr:col>11</xdr:col>
      <xdr:colOff>127561</xdr:colOff>
      <xdr:row>34</xdr:row>
      <xdr:rowOff>853649</xdr:rowOff>
    </xdr:to>
    <xdr:grpSp>
      <xdr:nvGrpSpPr>
        <xdr:cNvPr id="9" name="Pseudo-Dropdown-Pfeile" hidden="1"/>
        <xdr:cNvGrpSpPr/>
      </xdr:nvGrpSpPr>
      <xdr:grpSpPr>
        <a:xfrm>
          <a:off x="7792087" y="4400263"/>
          <a:ext cx="2142083" cy="7114760"/>
          <a:chOff x="7713017" y="3375660"/>
          <a:chExt cx="2141420" cy="7094882"/>
        </a:xfrm>
      </xdr:grpSpPr>
      <xdr:grpSp>
        <xdr:nvGrpSpPr>
          <xdr:cNvPr id="5" name="Gruppieren 4"/>
          <xdr:cNvGrpSpPr/>
        </xdr:nvGrpSpPr>
        <xdr:grpSpPr>
          <a:xfrm>
            <a:off x="7713017" y="4770120"/>
            <a:ext cx="2141420" cy="115956"/>
            <a:chOff x="7714342" y="4770783"/>
            <a:chExt cx="2142083" cy="115956"/>
          </a:xfrm>
        </xdr:grpSpPr>
        <xdr:grpSp>
          <xdr:nvGrpSpPr>
            <xdr:cNvPr id="4" name="Gruppieren 3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2" name="Rechteck 1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" name="Gleichschenkliges Dreieck 2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6" name="Gruppieren 5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7" name="Rechteck 6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8" name="Gleichschenkliges Dreieck 7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  <xdr:grpSp>
        <xdr:nvGrpSpPr>
          <xdr:cNvPr id="10" name="Gruppieren 9"/>
          <xdr:cNvGrpSpPr/>
        </xdr:nvGrpSpPr>
        <xdr:grpSpPr>
          <a:xfrm>
            <a:off x="7713017" y="6171206"/>
            <a:ext cx="2141420" cy="115956"/>
            <a:chOff x="7714342" y="4770783"/>
            <a:chExt cx="2142083" cy="115956"/>
          </a:xfrm>
        </xdr:grpSpPr>
        <xdr:grpSp>
          <xdr:nvGrpSpPr>
            <xdr:cNvPr id="11" name="Gruppieren 10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15" name="Rechteck 14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16" name="Gleichschenkliges Dreieck 15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12" name="Gruppieren 11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13" name="Rechteck 12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14" name="Gleichschenkliges Dreieck 13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  <xdr:grpSp>
        <xdr:nvGrpSpPr>
          <xdr:cNvPr id="17" name="Gruppieren 16"/>
          <xdr:cNvGrpSpPr/>
        </xdr:nvGrpSpPr>
        <xdr:grpSpPr>
          <a:xfrm>
            <a:off x="7713017" y="7565667"/>
            <a:ext cx="2141420" cy="115956"/>
            <a:chOff x="7714342" y="4770783"/>
            <a:chExt cx="2142083" cy="115956"/>
          </a:xfrm>
        </xdr:grpSpPr>
        <xdr:grpSp>
          <xdr:nvGrpSpPr>
            <xdr:cNvPr id="18" name="Gruppieren 17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22" name="Rechteck 21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23" name="Gleichschenkliges Dreieck 22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19" name="Gruppieren 18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20" name="Rechteck 19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21" name="Gleichschenkliges Dreieck 20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  <xdr:grpSp>
        <xdr:nvGrpSpPr>
          <xdr:cNvPr id="24" name="Gruppieren 23"/>
          <xdr:cNvGrpSpPr/>
        </xdr:nvGrpSpPr>
        <xdr:grpSpPr>
          <a:xfrm>
            <a:off x="7713017" y="8953500"/>
            <a:ext cx="2141420" cy="115956"/>
            <a:chOff x="7714342" y="4770783"/>
            <a:chExt cx="2142083" cy="115956"/>
          </a:xfrm>
        </xdr:grpSpPr>
        <xdr:grpSp>
          <xdr:nvGrpSpPr>
            <xdr:cNvPr id="25" name="Gruppieren 24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29" name="Rechteck 28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0" name="Gleichschenkliges Dreieck 29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26" name="Gruppieren 25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27" name="Rechteck 26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28" name="Gleichschenkliges Dreieck 27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  <xdr:grpSp>
        <xdr:nvGrpSpPr>
          <xdr:cNvPr id="31" name="Gruppieren 30"/>
          <xdr:cNvGrpSpPr/>
        </xdr:nvGrpSpPr>
        <xdr:grpSpPr>
          <a:xfrm>
            <a:off x="7713017" y="10354586"/>
            <a:ext cx="2141420" cy="115956"/>
            <a:chOff x="7714342" y="4770783"/>
            <a:chExt cx="2142083" cy="115956"/>
          </a:xfrm>
        </xdr:grpSpPr>
        <xdr:grpSp>
          <xdr:nvGrpSpPr>
            <xdr:cNvPr id="32" name="Gruppieren 31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36" name="Rechteck 35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7" name="Gleichschenkliges Dreieck 36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33" name="Gruppieren 32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34" name="Rechteck 33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5" name="Gleichschenkliges Dreieck 34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  <xdr:grpSp>
        <xdr:nvGrpSpPr>
          <xdr:cNvPr id="38" name="Gruppieren 37"/>
          <xdr:cNvGrpSpPr/>
        </xdr:nvGrpSpPr>
        <xdr:grpSpPr>
          <a:xfrm>
            <a:off x="7713017" y="3375660"/>
            <a:ext cx="2141420" cy="115956"/>
            <a:chOff x="7714342" y="4770783"/>
            <a:chExt cx="2142083" cy="115956"/>
          </a:xfrm>
        </xdr:grpSpPr>
        <xdr:grpSp>
          <xdr:nvGrpSpPr>
            <xdr:cNvPr id="39" name="Gruppieren 38"/>
            <xdr:cNvGrpSpPr/>
          </xdr:nvGrpSpPr>
          <xdr:grpSpPr>
            <a:xfrm>
              <a:off x="7714342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43" name="Rechteck 42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44" name="Gleichschenkliges Dreieck 43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grpSp>
          <xdr:nvGrpSpPr>
            <xdr:cNvPr id="40" name="Gruppieren 39"/>
            <xdr:cNvGrpSpPr/>
          </xdr:nvGrpSpPr>
          <xdr:grpSpPr>
            <a:xfrm>
              <a:off x="9741926" y="4770783"/>
              <a:ext cx="114499" cy="115956"/>
              <a:chOff x="11597641" y="8345645"/>
              <a:chExt cx="90000" cy="90000"/>
            </a:xfrm>
          </xdr:grpSpPr>
          <xdr:sp macro="" textlink="">
            <xdr:nvSpPr>
              <xdr:cNvPr id="41" name="Rechteck 40"/>
              <xdr:cNvSpPr>
                <a:spLocks noChangeAspect="1"/>
              </xdr:cNvSpPr>
            </xdr:nvSpPr>
            <xdr:spPr>
              <a:xfrm>
                <a:off x="11597641" y="8345645"/>
                <a:ext cx="90000" cy="90000"/>
              </a:xfrm>
              <a:prstGeom prst="rect">
                <a:avLst/>
              </a:prstGeom>
              <a:solidFill>
                <a:srgbClr val="F8F8F8"/>
              </a:solidFill>
              <a:ln w="6350" cap="rnd">
                <a:solidFill>
                  <a:schemeClr val="bg1">
                    <a:lumMod val="50000"/>
                  </a:schemeClr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42" name="Gleichschenkliges Dreieck 41"/>
              <xdr:cNvSpPr>
                <a:spLocks/>
              </xdr:cNvSpPr>
            </xdr:nvSpPr>
            <xdr:spPr>
              <a:xfrm flipV="1">
                <a:off x="11628747" y="8387923"/>
                <a:ext cx="36496" cy="16002"/>
              </a:xfrm>
              <a:prstGeom prst="triangle">
                <a:avLst/>
              </a:prstGeom>
              <a:solidFill>
                <a:schemeClr val="bg1">
                  <a:lumMod val="6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</xdr:grpSp>
    </xdr:grpSp>
    <xdr:clientData fPrintsWithSheet="0"/>
  </xdr:twoCellAnchor>
</xdr:wsDr>
</file>

<file path=xl/tables/table1.xml><?xml version="1.0" encoding="utf-8"?>
<table xmlns="http://schemas.openxmlformats.org/spreadsheetml/2006/main" id="1" name="Versions_Log" displayName="Versions_Log" ref="D4:G29" totalsRowShown="0" headerRowDxfId="7" dataDxfId="5" headerRowBorderDxfId="6" tableBorderDxfId="4">
  <tableColumns count="4">
    <tableColumn id="1" name="Datum " dataDxfId="2"/>
    <tableColumn id="2" name="Bearbeiter" dataDxfId="1"/>
    <tableColumn id="3" name="Versionsnummer nach Änderung" dataDxfId="0"/>
    <tableColumn id="4" name="Beschreibung" dataDxfId="3"/>
  </tableColumns>
  <tableStyleInfo name="Einfache Tabelle mit grauem Kopf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outlinePr showOutlineSymbols="0"/>
    <pageSetUpPr fitToPage="1"/>
  </sheetPr>
  <dimension ref="B1:Z41"/>
  <sheetViews>
    <sheetView showGridLines="0" tabSelected="1" showOutlineSymbols="0" topLeftCell="A4" zoomScale="115" zoomScaleNormal="115" workbookViewId="0">
      <selection activeCell="C20" sqref="C20:G20"/>
    </sheetView>
  </sheetViews>
  <sheetFormatPr baseColWidth="10" defaultColWidth="3.44140625" defaultRowHeight="18" x14ac:dyDescent="0.35"/>
  <cols>
    <col min="1" max="1" width="1.5546875" style="30" customWidth="1"/>
    <col min="2" max="2" width="2.109375" style="27" customWidth="1"/>
    <col min="3" max="3" width="18.33203125" style="28" customWidth="1"/>
    <col min="4" max="4" width="7.33203125" style="28" customWidth="1"/>
    <col min="5" max="5" width="43.44140625" style="29" customWidth="1"/>
    <col min="6" max="6" width="21.21875" style="29" customWidth="1"/>
    <col min="7" max="7" width="19.33203125" style="29" customWidth="1"/>
    <col min="8" max="9" width="2.21875" style="29" customWidth="1"/>
    <col min="10" max="10" width="17.88671875" style="29" customWidth="1"/>
    <col min="11" max="11" width="7.21875" style="30" customWidth="1"/>
    <col min="12" max="12" width="3.44140625" style="30" customWidth="1"/>
    <col min="13" max="16384" width="3.44140625" style="30"/>
  </cols>
  <sheetData>
    <row r="1" spans="2:12" ht="8.4" customHeight="1" thickBot="1" x14ac:dyDescent="0.4"/>
    <row r="2" spans="2:12" ht="9" customHeight="1" x14ac:dyDescent="0.35">
      <c r="B2" s="31"/>
      <c r="C2" s="202"/>
      <c r="D2" s="202"/>
      <c r="E2" s="202"/>
      <c r="F2" s="202"/>
      <c r="G2" s="202"/>
      <c r="H2" s="202"/>
      <c r="I2" s="202"/>
      <c r="J2" s="202"/>
      <c r="K2" s="202"/>
      <c r="L2" s="211"/>
    </row>
    <row r="3" spans="2:12" ht="23.4" customHeight="1" x14ac:dyDescent="0.35">
      <c r="B3" s="111"/>
      <c r="C3" s="198" t="s">
        <v>149</v>
      </c>
      <c r="D3" s="198"/>
      <c r="E3" s="198"/>
      <c r="F3" s="198"/>
      <c r="G3" s="198"/>
      <c r="H3" s="198"/>
      <c r="I3" s="198"/>
      <c r="J3" s="198"/>
      <c r="K3" s="198"/>
      <c r="L3" s="112"/>
    </row>
    <row r="4" spans="2:12" ht="24" customHeight="1" x14ac:dyDescent="0.35">
      <c r="B4" s="72"/>
      <c r="C4" s="199" t="s">
        <v>116</v>
      </c>
      <c r="D4" s="199"/>
      <c r="E4" s="199"/>
      <c r="F4" s="199"/>
      <c r="G4" s="199"/>
      <c r="H4" s="199"/>
      <c r="I4" s="199"/>
      <c r="J4" s="199"/>
      <c r="K4" s="199"/>
      <c r="L4" s="73"/>
    </row>
    <row r="5" spans="2:12" ht="9" customHeight="1" x14ac:dyDescent="0.35">
      <c r="B5" s="32"/>
      <c r="C5" s="33"/>
      <c r="D5" s="33"/>
      <c r="E5" s="34"/>
      <c r="F5" s="34"/>
      <c r="G5" s="34"/>
      <c r="H5" s="34"/>
      <c r="I5" s="34"/>
      <c r="J5" s="34"/>
      <c r="K5" s="45"/>
      <c r="L5" s="46"/>
    </row>
    <row r="6" spans="2:12" s="38" customFormat="1" ht="21" customHeight="1" x14ac:dyDescent="0.35">
      <c r="B6" s="35"/>
      <c r="C6" s="148" t="s">
        <v>6</v>
      </c>
      <c r="D6" s="212"/>
      <c r="E6" s="212"/>
      <c r="F6" s="186" t="s">
        <v>3</v>
      </c>
      <c r="G6" s="74"/>
      <c r="H6" s="40"/>
      <c r="I6" s="40"/>
      <c r="J6" s="145" t="s">
        <v>4</v>
      </c>
      <c r="K6" s="146">
        <f>P_proz</f>
        <v>0.83499999999999996</v>
      </c>
      <c r="L6" s="37"/>
    </row>
    <row r="7" spans="2:12" s="38" customFormat="1" ht="6.6" customHeight="1" x14ac:dyDescent="0.35">
      <c r="B7" s="35"/>
      <c r="C7" s="39"/>
      <c r="D7" s="39"/>
      <c r="E7" s="40"/>
      <c r="F7" s="187"/>
      <c r="G7" s="40"/>
      <c r="H7" s="40"/>
      <c r="I7" s="40"/>
      <c r="J7" s="147"/>
      <c r="K7" s="148"/>
      <c r="L7" s="41"/>
    </row>
    <row r="8" spans="2:12" s="38" customFormat="1" ht="21" customHeight="1" x14ac:dyDescent="0.35">
      <c r="B8" s="35"/>
      <c r="C8" s="148" t="s">
        <v>7</v>
      </c>
      <c r="D8" s="212"/>
      <c r="E8" s="212"/>
      <c r="F8" s="186" t="s">
        <v>0</v>
      </c>
      <c r="G8" s="74"/>
      <c r="H8" s="40"/>
      <c r="I8" s="40"/>
      <c r="J8" s="185" t="s">
        <v>5</v>
      </c>
      <c r="K8" s="149">
        <f>Notenvorschlag</f>
        <v>2</v>
      </c>
      <c r="L8" s="37"/>
    </row>
    <row r="9" spans="2:12" s="38" customFormat="1" ht="6.6" customHeight="1" x14ac:dyDescent="0.35">
      <c r="B9" s="35"/>
      <c r="C9" s="39"/>
      <c r="D9" s="39"/>
      <c r="E9" s="40"/>
      <c r="F9" s="187"/>
      <c r="G9" s="40"/>
      <c r="H9" s="40"/>
      <c r="I9" s="40"/>
      <c r="J9" s="147"/>
      <c r="K9" s="36"/>
      <c r="L9" s="41"/>
    </row>
    <row r="10" spans="2:12" s="38" customFormat="1" ht="21" customHeight="1" x14ac:dyDescent="0.35">
      <c r="B10" s="35"/>
      <c r="C10" s="148" t="s">
        <v>2</v>
      </c>
      <c r="D10" s="212"/>
      <c r="E10" s="212"/>
      <c r="F10" s="186" t="s">
        <v>8</v>
      </c>
      <c r="G10" s="74" t="s">
        <v>140</v>
      </c>
      <c r="H10" s="40"/>
      <c r="I10" s="40"/>
      <c r="J10" s="145" t="s">
        <v>18</v>
      </c>
      <c r="K10" s="87" t="s">
        <v>19</v>
      </c>
      <c r="L10" s="37"/>
    </row>
    <row r="11" spans="2:12" s="38" customFormat="1" ht="6.6" customHeight="1" x14ac:dyDescent="0.35">
      <c r="B11" s="35"/>
      <c r="C11" s="39"/>
      <c r="D11" s="39"/>
      <c r="E11" s="40"/>
      <c r="F11" s="40"/>
      <c r="G11" s="40"/>
      <c r="H11" s="40"/>
      <c r="I11" s="40"/>
      <c r="J11" s="36"/>
      <c r="K11" s="36"/>
      <c r="L11" s="41"/>
    </row>
    <row r="12" spans="2:12" s="38" customFormat="1" ht="21" customHeight="1" x14ac:dyDescent="0.35">
      <c r="B12" s="35"/>
      <c r="C12" s="215" t="s">
        <v>1</v>
      </c>
      <c r="D12" s="213"/>
      <c r="E12" s="213"/>
      <c r="F12" s="213"/>
      <c r="G12" s="213"/>
      <c r="H12" s="40"/>
      <c r="I12" s="40"/>
      <c r="J12" s="190" t="str">
        <f>"Endnote (" &amp; IF(Bewertungstyp=1,"0-3-7","Dezimal") &amp; ")"</f>
        <v>Endnote (Dezimal)</v>
      </c>
      <c r="K12" s="218" t="str">
        <f>IF(Typ_der_Arbeit&lt;&gt;'Daten und Berechnung'!N10,"bestätigt (StA)","")</f>
        <v/>
      </c>
      <c r="L12" s="37"/>
    </row>
    <row r="13" spans="2:12" s="38" customFormat="1" ht="15" customHeight="1" x14ac:dyDescent="0.35">
      <c r="B13" s="35"/>
      <c r="C13" s="215"/>
      <c r="D13" s="213"/>
      <c r="E13" s="213"/>
      <c r="F13" s="213"/>
      <c r="G13" s="213"/>
      <c r="H13" s="40"/>
      <c r="I13" s="40"/>
      <c r="J13" s="216">
        <f>Endnote_Gutachten</f>
        <v>2</v>
      </c>
      <c r="K13" s="219"/>
      <c r="L13" s="41"/>
    </row>
    <row r="14" spans="2:12" s="38" customFormat="1" ht="21" customHeight="1" x14ac:dyDescent="0.35">
      <c r="B14" s="35"/>
      <c r="C14" s="215"/>
      <c r="D14" s="214"/>
      <c r="E14" s="214"/>
      <c r="F14" s="214"/>
      <c r="G14" s="214"/>
      <c r="H14" s="40"/>
      <c r="I14" s="40"/>
      <c r="J14" s="217"/>
      <c r="K14" s="220"/>
      <c r="L14" s="41"/>
    </row>
    <row r="15" spans="2:12" s="38" customFormat="1" ht="12" customHeight="1" x14ac:dyDescent="0.35">
      <c r="B15" s="42"/>
      <c r="C15" s="43"/>
      <c r="D15" s="43"/>
      <c r="E15" s="44"/>
      <c r="F15" s="44"/>
      <c r="G15" s="44"/>
      <c r="H15" s="44"/>
      <c r="I15" s="44"/>
      <c r="J15" s="75"/>
      <c r="K15" s="75"/>
      <c r="L15" s="41"/>
    </row>
    <row r="16" spans="2:12" ht="12" customHeight="1" x14ac:dyDescent="0.35">
      <c r="B16" s="221"/>
      <c r="C16" s="222"/>
      <c r="D16" s="222"/>
      <c r="E16" s="222"/>
      <c r="F16" s="222"/>
      <c r="G16" s="222"/>
      <c r="H16" s="222"/>
      <c r="I16" s="222"/>
      <c r="J16" s="223"/>
      <c r="K16" s="223"/>
      <c r="L16" s="224"/>
    </row>
    <row r="17" spans="2:26" s="49" customFormat="1" ht="21" x14ac:dyDescent="0.3">
      <c r="B17" s="47"/>
      <c r="C17" s="227" t="s">
        <v>148</v>
      </c>
      <c r="D17" s="227"/>
      <c r="E17" s="227"/>
      <c r="F17" s="88" t="s">
        <v>57</v>
      </c>
      <c r="G17" s="23"/>
      <c r="H17" s="23"/>
      <c r="I17" s="23"/>
      <c r="J17" s="225" t="s">
        <v>147</v>
      </c>
      <c r="K17" s="225"/>
      <c r="L17" s="48"/>
    </row>
    <row r="18" spans="2:26" s="49" customFormat="1" ht="10.95" customHeight="1" x14ac:dyDescent="0.3">
      <c r="B18" s="47"/>
      <c r="C18" s="21"/>
      <c r="D18" s="20"/>
      <c r="E18" s="22"/>
      <c r="F18" s="22"/>
      <c r="G18" s="22"/>
      <c r="H18" s="22"/>
      <c r="I18" s="22"/>
      <c r="J18" s="22"/>
      <c r="K18" s="24"/>
      <c r="L18" s="48"/>
    </row>
    <row r="19" spans="2:26" s="49" customFormat="1" ht="19.95" customHeight="1" x14ac:dyDescent="0.3">
      <c r="B19" s="47"/>
      <c r="C19" s="226" t="str">
        <f>Kriterium1</f>
        <v xml:space="preserve">Analyse der Aufgabenstellung
</v>
      </c>
      <c r="D19" s="226"/>
      <c r="E19" s="226"/>
      <c r="F19" s="50">
        <f>INDEX('Texte und Punkte'!O5:U5,1,Typnummer_Arbeit)/100</f>
        <v>0.1</v>
      </c>
      <c r="G19" s="22"/>
      <c r="H19" s="22"/>
      <c r="I19" s="22"/>
      <c r="J19" s="22"/>
      <c r="K19" s="24"/>
      <c r="L19" s="48"/>
    </row>
    <row r="20" spans="2:26" s="49" customFormat="1" ht="75" customHeight="1" x14ac:dyDescent="0.3">
      <c r="B20" s="25"/>
      <c r="C20" s="194" t="s">
        <v>70</v>
      </c>
      <c r="D20" s="195"/>
      <c r="E20" s="195"/>
      <c r="F20" s="195"/>
      <c r="G20" s="196"/>
      <c r="H20" s="21"/>
      <c r="I20" s="21"/>
      <c r="J20" s="200" t="s">
        <v>54</v>
      </c>
      <c r="K20" s="201"/>
      <c r="L20" s="48"/>
      <c r="P20" s="51"/>
      <c r="Z20" s="184"/>
    </row>
    <row r="21" spans="2:26" s="49" customFormat="1" ht="15" customHeight="1" x14ac:dyDescent="0.3">
      <c r="B21" s="52"/>
      <c r="C21" s="192"/>
      <c r="D21" s="192"/>
      <c r="E21" s="192"/>
      <c r="F21" s="192"/>
      <c r="G21" s="192"/>
      <c r="H21" s="192"/>
      <c r="I21" s="192"/>
      <c r="J21" s="192"/>
      <c r="K21" s="192"/>
      <c r="L21" s="193"/>
    </row>
    <row r="22" spans="2:26" s="49" customFormat="1" ht="19.95" customHeight="1" x14ac:dyDescent="0.3">
      <c r="B22" s="52"/>
      <c r="C22" s="197" t="str">
        <f>Kriterium2</f>
        <v xml:space="preserve">Ableitung der Lösung, Erfassung des IST-Standes
</v>
      </c>
      <c r="D22" s="197"/>
      <c r="E22" s="197"/>
      <c r="F22" s="50">
        <f>INDEX('Texte und Punkte'!O10:U10,1,Typnummer_Arbeit)/100</f>
        <v>0.1</v>
      </c>
      <c r="G22" s="22"/>
      <c r="H22" s="22"/>
      <c r="I22" s="22"/>
      <c r="J22" s="22"/>
      <c r="K22" s="53"/>
      <c r="L22" s="54"/>
    </row>
    <row r="23" spans="2:26" s="49" customFormat="1" ht="75" customHeight="1" x14ac:dyDescent="0.3">
      <c r="B23" s="25"/>
      <c r="C23" s="194" t="s">
        <v>74</v>
      </c>
      <c r="D23" s="195"/>
      <c r="E23" s="195"/>
      <c r="F23" s="195"/>
      <c r="G23" s="196"/>
      <c r="H23" s="21"/>
      <c r="I23" s="21"/>
      <c r="J23" s="200" t="s">
        <v>53</v>
      </c>
      <c r="K23" s="201"/>
      <c r="L23" s="48"/>
    </row>
    <row r="24" spans="2:26" s="49" customFormat="1" ht="15" customHeight="1" x14ac:dyDescent="0.3">
      <c r="B24" s="52"/>
      <c r="C24" s="192"/>
      <c r="D24" s="192"/>
      <c r="E24" s="192"/>
      <c r="F24" s="192"/>
      <c r="G24" s="192"/>
      <c r="H24" s="192"/>
      <c r="I24" s="192"/>
      <c r="J24" s="192"/>
      <c r="K24" s="192"/>
      <c r="L24" s="193"/>
    </row>
    <row r="25" spans="2:26" s="49" customFormat="1" ht="19.95" customHeight="1" x14ac:dyDescent="0.3">
      <c r="B25" s="52"/>
      <c r="C25" s="197" t="str">
        <f>Kriterium3</f>
        <v>Systematik, Methodeneinsatz, Fachkenntnisse</v>
      </c>
      <c r="D25" s="197"/>
      <c r="E25" s="197"/>
      <c r="F25" s="50">
        <f>INDEX('Texte und Punkte'!O15:U15,1,Typnummer_Arbeit)/100</f>
        <v>0.35</v>
      </c>
      <c r="G25" s="22"/>
      <c r="H25" s="22"/>
      <c r="I25" s="22"/>
      <c r="J25" s="22"/>
      <c r="K25" s="53"/>
      <c r="L25" s="54"/>
    </row>
    <row r="26" spans="2:26" s="49" customFormat="1" ht="75" customHeight="1" x14ac:dyDescent="0.3">
      <c r="B26" s="25"/>
      <c r="C26" s="194" t="s">
        <v>79</v>
      </c>
      <c r="D26" s="195"/>
      <c r="E26" s="195"/>
      <c r="F26" s="195"/>
      <c r="G26" s="196"/>
      <c r="H26" s="21"/>
      <c r="I26" s="21"/>
      <c r="J26" s="200" t="s">
        <v>53</v>
      </c>
      <c r="K26" s="201"/>
      <c r="L26" s="48"/>
    </row>
    <row r="27" spans="2:26" s="49" customFormat="1" ht="15" customHeight="1" x14ac:dyDescent="0.3">
      <c r="B27" s="52"/>
      <c r="C27" s="192"/>
      <c r="D27" s="192"/>
      <c r="E27" s="192"/>
      <c r="F27" s="192"/>
      <c r="G27" s="192"/>
      <c r="H27" s="192"/>
      <c r="I27" s="192"/>
      <c r="J27" s="192"/>
      <c r="K27" s="192"/>
      <c r="L27" s="193"/>
    </row>
    <row r="28" spans="2:26" s="49" customFormat="1" ht="19.95" customHeight="1" x14ac:dyDescent="0.3">
      <c r="B28" s="52"/>
      <c r="C28" s="197" t="str">
        <f>Kriterium4</f>
        <v>fachliche Bearbeitung, Erreichung der Zielsetzung</v>
      </c>
      <c r="D28" s="197"/>
      <c r="E28" s="197"/>
      <c r="F28" s="50">
        <f>INDEX('Texte und Punkte'!O20:U20,1,Typnummer_Arbeit)/100</f>
        <v>0.25</v>
      </c>
      <c r="G28" s="22"/>
      <c r="H28" s="22"/>
      <c r="I28" s="22"/>
      <c r="J28" s="22"/>
      <c r="K28" s="53"/>
      <c r="L28" s="54"/>
    </row>
    <row r="29" spans="2:26" s="49" customFormat="1" ht="75" customHeight="1" x14ac:dyDescent="0.3">
      <c r="B29" s="25"/>
      <c r="C29" s="194" t="s">
        <v>85</v>
      </c>
      <c r="D29" s="195"/>
      <c r="E29" s="195"/>
      <c r="F29" s="195"/>
      <c r="G29" s="196"/>
      <c r="H29" s="21"/>
      <c r="I29" s="21"/>
      <c r="J29" s="200" t="s">
        <v>54</v>
      </c>
      <c r="K29" s="201"/>
      <c r="L29" s="48"/>
    </row>
    <row r="30" spans="2:26" s="49" customFormat="1" ht="15" customHeight="1" x14ac:dyDescent="0.3">
      <c r="B30" s="52"/>
      <c r="C30" s="192"/>
      <c r="D30" s="192"/>
      <c r="E30" s="192"/>
      <c r="F30" s="192"/>
      <c r="G30" s="192"/>
      <c r="H30" s="192"/>
      <c r="I30" s="192"/>
      <c r="J30" s="192"/>
      <c r="K30" s="192"/>
      <c r="L30" s="193"/>
    </row>
    <row r="31" spans="2:26" s="49" customFormat="1" ht="19.95" customHeight="1" x14ac:dyDescent="0.3">
      <c r="B31" s="52"/>
      <c r="C31" s="197" t="str">
        <f>Kriterium5</f>
        <v>Dokumentation, Sorgfalt</v>
      </c>
      <c r="D31" s="197"/>
      <c r="E31" s="197"/>
      <c r="F31" s="50">
        <f>INDEX('Texte und Punkte'!O25:U25,1,Typnummer_Arbeit)/100</f>
        <v>0.1</v>
      </c>
      <c r="G31" s="22"/>
      <c r="H31" s="22"/>
      <c r="I31" s="22"/>
      <c r="J31" s="22"/>
      <c r="K31" s="53"/>
      <c r="L31" s="54"/>
    </row>
    <row r="32" spans="2:26" s="49" customFormat="1" ht="75" customHeight="1" x14ac:dyDescent="0.3">
      <c r="B32" s="25"/>
      <c r="C32" s="194" t="s">
        <v>90</v>
      </c>
      <c r="D32" s="195"/>
      <c r="E32" s="195"/>
      <c r="F32" s="195"/>
      <c r="G32" s="196"/>
      <c r="H32" s="21"/>
      <c r="I32" s="21"/>
      <c r="J32" s="200" t="s">
        <v>56</v>
      </c>
      <c r="K32" s="201"/>
      <c r="L32" s="48"/>
    </row>
    <row r="33" spans="2:12" s="49" customFormat="1" ht="15" customHeight="1" x14ac:dyDescent="0.3">
      <c r="B33" s="52"/>
      <c r="C33" s="192"/>
      <c r="D33" s="192"/>
      <c r="E33" s="192"/>
      <c r="F33" s="192"/>
      <c r="G33" s="192"/>
      <c r="H33" s="192"/>
      <c r="I33" s="192"/>
      <c r="J33" s="192"/>
      <c r="K33" s="192"/>
      <c r="L33" s="193"/>
    </row>
    <row r="34" spans="2:12" s="49" customFormat="1" ht="19.95" customHeight="1" x14ac:dyDescent="0.3">
      <c r="B34" s="52"/>
      <c r="C34" s="197" t="str">
        <f>Kriterium6</f>
        <v>Eigeninitiative, Selbständigkeit</v>
      </c>
      <c r="D34" s="197"/>
      <c r="E34" s="197"/>
      <c r="F34" s="50">
        <f>INDEX('Texte und Punkte'!O30:U30,1,Typnummer_Arbeit)/100</f>
        <v>0.1</v>
      </c>
      <c r="G34" s="22"/>
      <c r="H34" s="22"/>
      <c r="I34" s="22"/>
      <c r="J34" s="22"/>
      <c r="K34" s="53"/>
      <c r="L34" s="54"/>
    </row>
    <row r="35" spans="2:12" s="49" customFormat="1" ht="75" customHeight="1" x14ac:dyDescent="0.3">
      <c r="B35" s="55"/>
      <c r="C35" s="194" t="s">
        <v>94</v>
      </c>
      <c r="D35" s="195"/>
      <c r="E35" s="195"/>
      <c r="F35" s="195"/>
      <c r="G35" s="196"/>
      <c r="H35" s="21"/>
      <c r="I35" s="21"/>
      <c r="J35" s="200" t="s">
        <v>53</v>
      </c>
      <c r="K35" s="201"/>
      <c r="L35" s="48"/>
    </row>
    <row r="36" spans="2:12" ht="18.600000000000001" thickBot="1" x14ac:dyDescent="0.4"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10"/>
    </row>
    <row r="37" spans="2:12" ht="22.8" customHeight="1" x14ac:dyDescent="0.35">
      <c r="B37" s="204" t="s">
        <v>105</v>
      </c>
      <c r="C37" s="205"/>
      <c r="D37" s="205"/>
      <c r="E37" s="206" t="str">
        <f>IF('Daten und Berechnung'!C11='Daten und Berechnung'!O14,'Daten und Berechnung'!Q4,'Daten und Berechnung'!Q3)</f>
        <v xml:space="preserve"> </v>
      </c>
      <c r="F37" s="206"/>
      <c r="G37" s="206"/>
      <c r="H37" s="206"/>
      <c r="I37" s="206"/>
      <c r="J37" s="206"/>
      <c r="K37" s="206"/>
      <c r="L37" s="207"/>
    </row>
    <row r="38" spans="2:12" ht="408.6" customHeight="1" x14ac:dyDescent="0.35"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2:12" ht="84.6" customHeight="1" thickBot="1" x14ac:dyDescent="0.4">
      <c r="B39" s="47"/>
      <c r="C39" s="107"/>
      <c r="D39" s="107"/>
      <c r="E39" s="108"/>
      <c r="F39" s="108"/>
      <c r="G39" s="108"/>
      <c r="H39" s="108"/>
      <c r="I39" s="108"/>
      <c r="J39" s="109"/>
      <c r="K39" s="109"/>
      <c r="L39" s="110"/>
    </row>
    <row r="40" spans="2:12" ht="16.8" customHeight="1" x14ac:dyDescent="0.35">
      <c r="B40" s="47"/>
      <c r="C40" s="202" t="s">
        <v>114</v>
      </c>
      <c r="D40" s="202"/>
      <c r="E40" s="108"/>
      <c r="F40" s="108"/>
      <c r="G40" s="203" t="s">
        <v>115</v>
      </c>
      <c r="H40" s="203"/>
      <c r="I40" s="203"/>
      <c r="J40" s="203"/>
      <c r="K40" s="109"/>
      <c r="L40" s="110"/>
    </row>
    <row r="41" spans="2:12" s="62" customFormat="1" ht="26.4" customHeight="1" thickBot="1" x14ac:dyDescent="0.4">
      <c r="B41" s="59"/>
      <c r="C41" s="71" t="str">
        <f ca="1">"Datei: " &amp; Dateiname &amp; "                     (Studiengang Maschinenbau, Version: " &amp; Dateiversion &amp; ", Stand: " &amp; TEXT(Dateidatum,"T.M.JJ") &amp; ")"</f>
        <v>Datei: Beurteilungsbogen SG-MB (v1.6).xlsx                     (Studiengang Maschinenbau, Version: 1.6, Stand: 28.9.22)</v>
      </c>
      <c r="D41" s="60"/>
      <c r="E41" s="60"/>
      <c r="F41" s="60"/>
      <c r="G41" s="60"/>
      <c r="H41" s="60"/>
      <c r="I41" s="60"/>
      <c r="J41" s="60"/>
      <c r="K41" s="60"/>
      <c r="L41" s="61"/>
    </row>
  </sheetData>
  <sheetProtection algorithmName="SHA-512" hashValue="Rgi5CwzJRbONWg3XnS8ndKfPaupI4p2MrVPicJatU3ryKII2VrwYUjLAxE0TztG9yPYURQ6F3Njg3/f1hpo8qw==" saltValue="XzFEthdaAnrcaRpu//F+Lw==" spinCount="100000" sheet="1" selectLockedCells="1"/>
  <dataConsolidate/>
  <customSheetViews>
    <customSheetView guid="{F624DE42-7366-4D05-A22F-FFE42B7DDA87}" scale="95" showGridLines="0" fitToPage="1">
      <selection activeCell="I5" sqref="I5"/>
      <pageMargins left="0.70866141732283472" right="0.70866141732283472" top="1.8110236220472442" bottom="0.78740157480314965" header="0.9055118110236221" footer="0.31496062992125984"/>
      <pageSetup paperSize="9" scale="67" orientation="landscape" blackAndWhite="1" verticalDpi="0" r:id="rId1"/>
      <headerFooter>
        <oddHeader>&amp;R&amp;G</oddHeader>
      </headerFooter>
    </customSheetView>
  </customSheetViews>
  <mergeCells count="41">
    <mergeCell ref="B16:L16"/>
    <mergeCell ref="C21:L21"/>
    <mergeCell ref="C24:L24"/>
    <mergeCell ref="C27:L27"/>
    <mergeCell ref="C22:E22"/>
    <mergeCell ref="C20:G20"/>
    <mergeCell ref="J17:K17"/>
    <mergeCell ref="J20:K20"/>
    <mergeCell ref="C19:E19"/>
    <mergeCell ref="C25:E25"/>
    <mergeCell ref="C17:E17"/>
    <mergeCell ref="C2:L2"/>
    <mergeCell ref="D6:E6"/>
    <mergeCell ref="D8:E8"/>
    <mergeCell ref="D10:E10"/>
    <mergeCell ref="D12:G14"/>
    <mergeCell ref="C12:C14"/>
    <mergeCell ref="J13:J14"/>
    <mergeCell ref="K12:K14"/>
    <mergeCell ref="C40:D40"/>
    <mergeCell ref="G40:J40"/>
    <mergeCell ref="J35:K35"/>
    <mergeCell ref="B37:D37"/>
    <mergeCell ref="E37:L37"/>
    <mergeCell ref="B36:L36"/>
    <mergeCell ref="C33:L33"/>
    <mergeCell ref="C35:G35"/>
    <mergeCell ref="C34:E34"/>
    <mergeCell ref="C3:K3"/>
    <mergeCell ref="C4:K4"/>
    <mergeCell ref="C29:G29"/>
    <mergeCell ref="C32:G32"/>
    <mergeCell ref="C23:G23"/>
    <mergeCell ref="C26:G26"/>
    <mergeCell ref="C30:L30"/>
    <mergeCell ref="C28:E28"/>
    <mergeCell ref="C31:E31"/>
    <mergeCell ref="J23:K23"/>
    <mergeCell ref="J26:K26"/>
    <mergeCell ref="J29:K29"/>
    <mergeCell ref="J32:K32"/>
  </mergeCells>
  <conditionalFormatting sqref="K12:K14">
    <cfRule type="expression" dxfId="17" priority="1">
      <formula>Typ_der_Arbeit="Bachelorarbeit"</formula>
    </cfRule>
  </conditionalFormatting>
  <dataValidations count="2">
    <dataValidation type="list" allowBlank="1" showInputMessage="1" showErrorMessage="1" error="Bitte einen Wert aus der Liste auswählen" sqref="K10">
      <formula1>Korrektursymbole</formula1>
    </dataValidation>
    <dataValidation type="list" showInputMessage="1" showErrorMessage="1" error="Bitte wählen Sie einen Wert zwischen 1 und der rechts angegebenen Maximalpunktzahl." sqref="J35 J20 J23 J26 J29 J32">
      <formula1>Abstufung</formula1>
    </dataValidation>
  </dataValidations>
  <pageMargins left="0.70866141732283472" right="0.11811023622047245" top="0.74803149606299213" bottom="0.74803149606299213" header="0.31496062992125984" footer="0.31496062992125984"/>
  <pageSetup paperSize="9" scale="65" fitToHeight="0" orientation="portrait" blackAndWhite="1" r:id="rId2"/>
  <headerFooter differentFirst="1">
    <oddFooter>&amp;RSeite &amp;P von &amp;N</oddFooter>
    <firstHeader xml:space="preserve">&amp;R&amp;G   </firstHeader>
    <firstFooter>&amp;L&amp;F&amp;C&amp;D&amp;RSeite &amp;P von &amp;N</firstFooter>
  </headerFooter>
  <rowBreaks count="1" manualBreakCount="1">
    <brk id="36" max="16383" man="1"/>
  </rowBreaks>
  <drawing r:id="rId3"/>
  <legacyDrawing r:id="rId4"/>
  <legacyDrawingHF r:id="rId5"/>
  <controls>
    <mc:AlternateContent xmlns:mc="http://schemas.openxmlformats.org/markup-compatibility/2006">
      <mc:Choice Requires="x14">
        <control shapeId="1077" r:id="rId6" name="TextBox_Anmerkungen">
          <controlPr defaultSize="0" autoFill="0" autoLine="0" r:id="rId7">
            <anchor moveWithCells="1">
              <from>
                <xdr:col>2</xdr:col>
                <xdr:colOff>0</xdr:colOff>
                <xdr:row>37</xdr:row>
                <xdr:rowOff>7620</xdr:rowOff>
              </from>
              <to>
                <xdr:col>10</xdr:col>
                <xdr:colOff>480060</xdr:colOff>
                <xdr:row>38</xdr:row>
                <xdr:rowOff>647700</xdr:rowOff>
              </to>
            </anchor>
          </controlPr>
        </control>
      </mc:Choice>
      <mc:Fallback>
        <control shapeId="1077" r:id="rId6" name="TextBox_Anmerkungen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6" id="{2C19D642-05D7-4269-A19E-C42CDAA7E567}">
            <xm:f>AND(#REF!='Daten und Berechnung'!#REF!,$K$10='Daten und Berechnung'!$N$16)</xm:f>
            <x14:dxf>
              <font>
                <b val="0"/>
                <i val="0"/>
                <strike val="0"/>
                <color theme="0" tint="-0.24994659260841701"/>
              </font>
              <fill>
                <patternFill>
                  <bgColor theme="3" tint="0.79998168889431442"/>
                </patternFill>
              </fill>
            </x14:dxf>
          </x14:cfRule>
          <x14:cfRule type="expression" priority="57" id="{2B256CA3-8B6A-4686-84A5-759B57C37D2D}">
            <xm:f>AND(#REF!='Daten und Berechnung'!#REF!,$K$10='Daten und Berechnung'!$N$15)</xm:f>
            <x14:dxf>
              <font>
                <b val="0"/>
                <i val="0"/>
                <strike val="0"/>
                <color theme="0" tint="-0.24994659260841701"/>
              </font>
              <fill>
                <patternFill>
                  <bgColor theme="3" tint="0.79998168889431442"/>
                </patternFill>
              </fill>
            </x14:dxf>
          </x14:cfRule>
          <xm:sqref>K10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errorTitle="Ungültiger Typ der Arbeit" error="Bitte wählen Sie den Typ der Arbeit aus der Dropdown-Liste aus.">
          <x14:formula1>
            <xm:f>'Texte und Punkte'!$O$3:$U$3</xm:f>
          </x14:formula1>
          <xm:sqref>G10</xm:sqref>
        </x14:dataValidation>
        <x14:dataValidation type="list" allowBlank="1" showInputMessage="1" showErrorMessage="1" error="Bitte wählen Sie einen Text aus der Dropdown-Liste aus.">
          <x14:formula1>
            <xm:f>'Texte und Punkte'!$H$10:$H$14</xm:f>
          </x14:formula1>
          <xm:sqref>C23</xm:sqref>
        </x14:dataValidation>
        <x14:dataValidation type="list" allowBlank="1" showInputMessage="1" showErrorMessage="1" error="Bitte wählen Sie einen Text aus der Dropdown-Liste aus.">
          <x14:formula1>
            <xm:f>'Texte und Punkte'!$H$15:$H$19</xm:f>
          </x14:formula1>
          <xm:sqref>C26</xm:sqref>
        </x14:dataValidation>
        <x14:dataValidation type="list" allowBlank="1" showInputMessage="1" showErrorMessage="1" error="Bitte wählen Sie einen Text aus der Dropdown-Liste aus.">
          <x14:formula1>
            <xm:f>'Texte und Punkte'!$H$20:$H$24</xm:f>
          </x14:formula1>
          <xm:sqref>C29</xm:sqref>
        </x14:dataValidation>
        <x14:dataValidation type="list" allowBlank="1" showInputMessage="1" showErrorMessage="1" error="Bitte wählen Sie einen Text aus der Dropdown-Liste aus.">
          <x14:formula1>
            <xm:f>'Texte und Punkte'!$H$30:$H$34</xm:f>
          </x14:formula1>
          <xm:sqref>C35</xm:sqref>
        </x14:dataValidation>
        <x14:dataValidation type="list" allowBlank="1" showInputMessage="1" showErrorMessage="1" error="Bitte wählen Sie einen Text aus der Dropdown-Liste aus.">
          <x14:formula1>
            <xm:f>'Texte und Punkte'!$H$5:$H$9</xm:f>
          </x14:formula1>
          <xm:sqref>C20</xm:sqref>
        </x14:dataValidation>
        <x14:dataValidation type="list" allowBlank="1" showInputMessage="1" showErrorMessage="1" error="Bitte wählen Sie einen Text aus der Dropdown-Liste aus.">
          <x14:formula1>
            <xm:f>'Texte und Punkte'!$H$25:$H$29</xm:f>
          </x14:formula1>
          <xm:sqref>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B1:AE40"/>
  <sheetViews>
    <sheetView zoomScale="70" zoomScaleNormal="70" workbookViewId="0">
      <pane xSplit="7" ySplit="4" topLeftCell="H26" activePane="bottomRight" state="frozen"/>
      <selection pane="topRight" activeCell="H1" sqref="H1"/>
      <selection pane="bottomLeft" activeCell="A5" sqref="A5"/>
      <selection pane="bottomRight" activeCell="B5" sqref="B5:B9"/>
    </sheetView>
  </sheetViews>
  <sheetFormatPr baseColWidth="10" defaultColWidth="11.44140625" defaultRowHeight="14.4" x14ac:dyDescent="0.3"/>
  <cols>
    <col min="1" max="1" width="3" style="1" customWidth="1"/>
    <col min="2" max="2" width="28.44140625" style="9" bestFit="1" customWidth="1"/>
    <col min="3" max="3" width="6.33203125" style="2" customWidth="1"/>
    <col min="4" max="6" width="4.33203125" style="2" hidden="1" customWidth="1"/>
    <col min="7" max="7" width="4.33203125" style="3" hidden="1" customWidth="1"/>
    <col min="8" max="8" width="69.6640625" style="18" bestFit="1" customWidth="1"/>
    <col min="9" max="9" width="4.6640625" style="11" hidden="1" customWidth="1"/>
    <col min="10" max="10" width="6.6640625" style="3" hidden="1" customWidth="1"/>
    <col min="11" max="12" width="7.109375" style="3" hidden="1" customWidth="1"/>
    <col min="13" max="13" width="5.33203125" style="3" hidden="1" customWidth="1"/>
    <col min="14" max="14" width="6" style="3" hidden="1" customWidth="1"/>
    <col min="15" max="17" width="4.6640625" style="3" customWidth="1"/>
    <col min="18" max="19" width="4.6640625" style="114" customWidth="1"/>
    <col min="20" max="20" width="4.6640625" style="3" customWidth="1"/>
    <col min="21" max="21" width="4.77734375" style="3" bestFit="1" customWidth="1"/>
    <col min="22" max="22" width="8.5546875" style="3" customWidth="1"/>
    <col min="23" max="24" width="11.44140625" style="1"/>
    <col min="25" max="25" width="5.6640625" style="1" customWidth="1"/>
    <col min="26" max="16384" width="11.44140625" style="1"/>
  </cols>
  <sheetData>
    <row r="1" spans="2:31" ht="15" thickBot="1" x14ac:dyDescent="0.35">
      <c r="B1" s="8"/>
      <c r="C1" s="1"/>
      <c r="D1" s="1"/>
      <c r="H1" s="19"/>
      <c r="I1" s="12"/>
      <c r="J1" s="1"/>
      <c r="K1" s="1"/>
      <c r="L1" s="1"/>
      <c r="M1" s="1"/>
      <c r="N1" s="1"/>
      <c r="O1" s="1"/>
      <c r="T1" s="114"/>
    </row>
    <row r="2" spans="2:31" s="115" customFormat="1" ht="20.399999999999999" customHeight="1" x14ac:dyDescent="0.3">
      <c r="B2" s="260" t="s">
        <v>48</v>
      </c>
      <c r="C2" s="263" t="s">
        <v>60</v>
      </c>
      <c r="D2" s="287" t="s">
        <v>113</v>
      </c>
      <c r="E2" s="281" t="s">
        <v>16</v>
      </c>
      <c r="F2" s="281" t="s">
        <v>112</v>
      </c>
      <c r="G2" s="284" t="s">
        <v>36</v>
      </c>
      <c r="H2" s="260" t="s">
        <v>11</v>
      </c>
      <c r="I2" s="266" t="s">
        <v>34</v>
      </c>
      <c r="J2" s="272" t="s">
        <v>37</v>
      </c>
      <c r="K2" s="275" t="s">
        <v>39</v>
      </c>
      <c r="L2" s="275" t="s">
        <v>40</v>
      </c>
      <c r="M2" s="275" t="s">
        <v>25</v>
      </c>
      <c r="N2" s="278" t="s">
        <v>32</v>
      </c>
      <c r="O2" s="257" t="s">
        <v>45</v>
      </c>
      <c r="P2" s="258"/>
      <c r="Q2" s="258"/>
      <c r="R2" s="258"/>
      <c r="S2" s="258"/>
      <c r="T2" s="258"/>
      <c r="U2" s="259"/>
      <c r="V2" s="114"/>
    </row>
    <row r="3" spans="2:31" s="4" customFormat="1" ht="103.8" customHeight="1" x14ac:dyDescent="0.3">
      <c r="B3" s="261"/>
      <c r="C3" s="264"/>
      <c r="D3" s="288"/>
      <c r="E3" s="282"/>
      <c r="F3" s="282"/>
      <c r="G3" s="285"/>
      <c r="H3" s="261"/>
      <c r="I3" s="267"/>
      <c r="J3" s="273"/>
      <c r="K3" s="276"/>
      <c r="L3" s="276"/>
      <c r="M3" s="276"/>
      <c r="N3" s="279"/>
      <c r="O3" s="126" t="str">
        <f>'Daten und Berechnung'!N4</f>
        <v>Projektarbeit 1</v>
      </c>
      <c r="P3" s="189" t="str">
        <f>'Daten und Berechnung'!N5</f>
        <v>Projektarbeit 2</v>
      </c>
      <c r="Q3" s="189" t="str">
        <f>'Daten und Berechnung'!N6</f>
        <v>Projektarbeit 3</v>
      </c>
      <c r="R3" s="189" t="str">
        <f>'Daten und Berechnung'!N7</f>
        <v>Projektarbeit 4</v>
      </c>
      <c r="S3" s="189" t="str">
        <f>'Daten und Berechnung'!N8</f>
        <v>Projektarbeit 5</v>
      </c>
      <c r="T3" s="127" t="str">
        <f>'Daten und Berechnung'!N9</f>
        <v>Studienarbeit</v>
      </c>
      <c r="U3" s="128" t="str">
        <f>'Daten und Berechnung'!N10</f>
        <v>Bachelorarbeit</v>
      </c>
    </row>
    <row r="4" spans="2:31" s="5" customFormat="1" ht="20.399999999999999" customHeight="1" thickBot="1" x14ac:dyDescent="0.35">
      <c r="B4" s="262"/>
      <c r="C4" s="265"/>
      <c r="D4" s="289"/>
      <c r="E4" s="283"/>
      <c r="F4" s="283"/>
      <c r="G4" s="286"/>
      <c r="H4" s="262"/>
      <c r="I4" s="268"/>
      <c r="J4" s="274"/>
      <c r="K4" s="277"/>
      <c r="L4" s="277"/>
      <c r="M4" s="277"/>
      <c r="N4" s="280"/>
      <c r="O4" s="269" t="str">
        <f>'Daten und Berechnung'!N10</f>
        <v>Bachelorarbeit</v>
      </c>
      <c r="P4" s="270"/>
      <c r="Q4" s="270"/>
      <c r="R4" s="270"/>
      <c r="S4" s="270"/>
      <c r="T4" s="270"/>
      <c r="U4" s="271"/>
    </row>
    <row r="5" spans="2:31" ht="45" customHeight="1" thickBot="1" x14ac:dyDescent="0.35">
      <c r="B5" s="234" t="s">
        <v>96</v>
      </c>
      <c r="C5" s="248">
        <f>D5*INDEX(O5:U5,1,Typnummer_Arbeit)/100*Anz_Krit</f>
        <v>6.6000000000000005</v>
      </c>
      <c r="D5" s="254">
        <f>((E5-1)*I5+G5)*N5</f>
        <v>11</v>
      </c>
      <c r="E5" s="251">
        <f>MATCH(LEFT(Beurteilung!C20,2),F5:F9,0)</f>
        <v>4</v>
      </c>
      <c r="F5" s="103" t="str">
        <f>LEFT(H5,2)</f>
        <v>a)</v>
      </c>
      <c r="G5" s="290">
        <f>IF(Beurteilung!J20=Stufe_1,1,IF(Beurteilung!J20=Stufe_2,2,3))</f>
        <v>2</v>
      </c>
      <c r="H5" s="137" t="s">
        <v>67</v>
      </c>
      <c r="I5" s="244">
        <v>3</v>
      </c>
      <c r="J5" s="76">
        <f t="shared" ref="J5:J34" si="0">IF(B5&gt;0,1,"")</f>
        <v>1</v>
      </c>
      <c r="K5" s="26">
        <f t="shared" ref="K5:K31" si="1">IF(J5=1,1,K4+1)</f>
        <v>1</v>
      </c>
      <c r="L5" s="15">
        <f>IF(J5=1,E5,L4)</f>
        <v>4</v>
      </c>
      <c r="M5" s="245">
        <f>IF(J5=1,IF(ISNA(MATCH(1,J6:J$35,0)),Endzeile-ROW(),MATCH(1,J6:J$35,0)),"")</f>
        <v>5</v>
      </c>
      <c r="N5" s="240">
        <f>P_Krit/(I5*M5)</f>
        <v>1</v>
      </c>
      <c r="O5" s="243">
        <v>25</v>
      </c>
      <c r="P5" s="232">
        <v>25</v>
      </c>
      <c r="Q5" s="232">
        <v>20</v>
      </c>
      <c r="R5" s="232">
        <v>20</v>
      </c>
      <c r="S5" s="232">
        <v>15</v>
      </c>
      <c r="T5" s="232">
        <v>10</v>
      </c>
      <c r="U5" s="229">
        <v>10</v>
      </c>
      <c r="V5" s="1"/>
    </row>
    <row r="6" spans="2:31" ht="45" customHeight="1" thickBot="1" x14ac:dyDescent="0.35">
      <c r="B6" s="235"/>
      <c r="C6" s="249"/>
      <c r="D6" s="255"/>
      <c r="E6" s="252"/>
      <c r="F6" s="103" t="str">
        <f t="shared" ref="F6:F34" si="2">LEFT(H6,2)</f>
        <v>b)</v>
      </c>
      <c r="G6" s="291"/>
      <c r="H6" s="137" t="s">
        <v>68</v>
      </c>
      <c r="I6" s="244"/>
      <c r="J6" s="77" t="str">
        <f t="shared" si="0"/>
        <v/>
      </c>
      <c r="K6" s="15">
        <f t="shared" si="1"/>
        <v>2</v>
      </c>
      <c r="L6" s="15">
        <f>IF(J6=1,E6,L5)</f>
        <v>4</v>
      </c>
      <c r="M6" s="246" t="str">
        <f>IF(J6=1,IF(ISNA(MATCH(1,J8:J$35,0)),Endzeile-ROW(),MATCH(1,J8:J$35,0)),"")</f>
        <v/>
      </c>
      <c r="N6" s="241"/>
      <c r="O6" s="243"/>
      <c r="P6" s="232"/>
      <c r="Q6" s="232"/>
      <c r="R6" s="232"/>
      <c r="S6" s="232"/>
      <c r="T6" s="232"/>
      <c r="U6" s="229"/>
      <c r="V6" s="1"/>
    </row>
    <row r="7" spans="2:31" ht="45" customHeight="1" thickBot="1" x14ac:dyDescent="0.35">
      <c r="B7" s="235"/>
      <c r="C7" s="249"/>
      <c r="D7" s="255"/>
      <c r="E7" s="252"/>
      <c r="F7" s="103" t="str">
        <f t="shared" si="2"/>
        <v>c)</v>
      </c>
      <c r="G7" s="291"/>
      <c r="H7" s="137" t="s">
        <v>69</v>
      </c>
      <c r="I7" s="244"/>
      <c r="J7" s="77" t="str">
        <f t="shared" si="0"/>
        <v/>
      </c>
      <c r="K7" s="15">
        <v>3</v>
      </c>
      <c r="L7" s="15">
        <f>IF(J7=1,E7,L6)</f>
        <v>4</v>
      </c>
      <c r="M7" s="246"/>
      <c r="N7" s="241"/>
      <c r="O7" s="243"/>
      <c r="P7" s="232"/>
      <c r="Q7" s="232"/>
      <c r="R7" s="232"/>
      <c r="S7" s="232"/>
      <c r="T7" s="232"/>
      <c r="U7" s="229"/>
      <c r="V7" s="1"/>
    </row>
    <row r="8" spans="2:31" ht="45" customHeight="1" thickBot="1" x14ac:dyDescent="0.35">
      <c r="B8" s="235"/>
      <c r="C8" s="249"/>
      <c r="D8" s="255"/>
      <c r="E8" s="252"/>
      <c r="F8" s="103" t="str">
        <f t="shared" si="2"/>
        <v>d)</v>
      </c>
      <c r="G8" s="291"/>
      <c r="H8" s="137" t="s">
        <v>70</v>
      </c>
      <c r="I8" s="244"/>
      <c r="J8" s="77" t="str">
        <f t="shared" si="0"/>
        <v/>
      </c>
      <c r="K8" s="15">
        <v>4</v>
      </c>
      <c r="L8" s="15">
        <f>IF(J8=1,E8,L6)</f>
        <v>4</v>
      </c>
      <c r="M8" s="246" t="str">
        <f>IF(J8=1,IF(ISNA(MATCH(1,J9:J$35,0)),Endzeile-ROW(),MATCH(1,J9:J$35,0)),"")</f>
        <v/>
      </c>
      <c r="N8" s="241"/>
      <c r="O8" s="243"/>
      <c r="P8" s="232"/>
      <c r="Q8" s="232"/>
      <c r="R8" s="232"/>
      <c r="S8" s="232"/>
      <c r="T8" s="232"/>
      <c r="U8" s="229"/>
      <c r="V8" s="1"/>
    </row>
    <row r="9" spans="2:31" ht="45" customHeight="1" thickBot="1" x14ac:dyDescent="0.35">
      <c r="B9" s="236"/>
      <c r="C9" s="250"/>
      <c r="D9" s="256"/>
      <c r="E9" s="253"/>
      <c r="F9" s="103" t="str">
        <f t="shared" si="2"/>
        <v>e)</v>
      </c>
      <c r="G9" s="292"/>
      <c r="H9" s="137" t="s">
        <v>71</v>
      </c>
      <c r="I9" s="244"/>
      <c r="J9" s="77" t="str">
        <f t="shared" si="0"/>
        <v/>
      </c>
      <c r="K9" s="16">
        <v>5</v>
      </c>
      <c r="L9" s="16">
        <f>IF(J9=1,E9,L8)</f>
        <v>4</v>
      </c>
      <c r="M9" s="247" t="str">
        <f>IF(J9=1,IF(ISNA(MATCH(1,J10:J$35,0)),Endzeile-ROW(),MATCH(1,J10:J$35,0)),"")</f>
        <v/>
      </c>
      <c r="N9" s="242"/>
      <c r="O9" s="243"/>
      <c r="P9" s="233"/>
      <c r="Q9" s="233"/>
      <c r="R9" s="233"/>
      <c r="S9" s="233"/>
      <c r="T9" s="233"/>
      <c r="U9" s="230"/>
      <c r="V9" s="1"/>
    </row>
    <row r="10" spans="2:31" ht="60" customHeight="1" thickBot="1" x14ac:dyDescent="0.35">
      <c r="B10" s="237" t="s">
        <v>97</v>
      </c>
      <c r="C10" s="248">
        <f>D10*INDEX(O10:U10,1,Typnummer_Arbeit)/100*Anz_Krit</f>
        <v>7.1999999999999993</v>
      </c>
      <c r="D10" s="254">
        <f>((E10-1)*I10+G10)*N10</f>
        <v>12</v>
      </c>
      <c r="E10" s="251">
        <f>MATCH(LEFT(Beurteilung!C23,2),F10:F14,0)</f>
        <v>4</v>
      </c>
      <c r="F10" s="104" t="str">
        <f t="shared" si="2"/>
        <v>a)</v>
      </c>
      <c r="G10" s="290">
        <f>IF(Beurteilung!J23=Stufe_1,1,IF(Beurteilung!J23=Stufe_2,2,3))</f>
        <v>3</v>
      </c>
      <c r="H10" s="137" t="s">
        <v>72</v>
      </c>
      <c r="I10" s="244">
        <v>3</v>
      </c>
      <c r="J10" s="76">
        <f t="shared" si="0"/>
        <v>1</v>
      </c>
      <c r="K10" s="15">
        <f t="shared" si="1"/>
        <v>1</v>
      </c>
      <c r="L10" s="15">
        <f>IF(J10=1,E10,L9)</f>
        <v>4</v>
      </c>
      <c r="M10" s="245">
        <f>IF(J10=1,IF(ISNA(MATCH(1,J11:J$35,0)),Endzeile-ROW(),MATCH(1,J11:J$35,0)),"")</f>
        <v>5</v>
      </c>
      <c r="N10" s="240">
        <f>P_Krit/(I10*M10)</f>
        <v>1</v>
      </c>
      <c r="O10" s="243">
        <v>10</v>
      </c>
      <c r="P10" s="231">
        <v>10</v>
      </c>
      <c r="Q10" s="231">
        <v>10</v>
      </c>
      <c r="R10" s="231">
        <v>10</v>
      </c>
      <c r="S10" s="231">
        <v>10</v>
      </c>
      <c r="T10" s="231">
        <v>10</v>
      </c>
      <c r="U10" s="228">
        <v>10</v>
      </c>
    </row>
    <row r="11" spans="2:31" ht="72.75" customHeight="1" thickBot="1" x14ac:dyDescent="0.35">
      <c r="B11" s="238"/>
      <c r="C11" s="249"/>
      <c r="D11" s="255"/>
      <c r="E11" s="252"/>
      <c r="F11" s="105" t="str">
        <f t="shared" si="2"/>
        <v>b)</v>
      </c>
      <c r="G11" s="291"/>
      <c r="H11" s="138" t="s">
        <v>73</v>
      </c>
      <c r="I11" s="244"/>
      <c r="J11" s="77" t="str">
        <f t="shared" si="0"/>
        <v/>
      </c>
      <c r="K11" s="15">
        <f t="shared" si="1"/>
        <v>2</v>
      </c>
      <c r="L11" s="15">
        <f>IF(J11=1,E11,L10)</f>
        <v>4</v>
      </c>
      <c r="M11" s="246" t="str">
        <f>IF(J11=1,IF(ISNA(MATCH(1,J13:J$35,0)),Endzeile-ROW(),MATCH(1,J13:J$35,0)),"")</f>
        <v/>
      </c>
      <c r="N11" s="241"/>
      <c r="O11" s="243"/>
      <c r="P11" s="232"/>
      <c r="Q11" s="232"/>
      <c r="R11" s="232"/>
      <c r="S11" s="232"/>
      <c r="T11" s="232"/>
      <c r="U11" s="229"/>
    </row>
    <row r="12" spans="2:31" ht="78.45" customHeight="1" thickBot="1" x14ac:dyDescent="0.35">
      <c r="B12" s="238"/>
      <c r="C12" s="249"/>
      <c r="D12" s="255"/>
      <c r="E12" s="252"/>
      <c r="F12" s="105" t="str">
        <f t="shared" si="2"/>
        <v>c)</v>
      </c>
      <c r="G12" s="291"/>
      <c r="H12" s="138" t="s">
        <v>111</v>
      </c>
      <c r="I12" s="244"/>
      <c r="J12" s="77" t="str">
        <f t="shared" si="0"/>
        <v/>
      </c>
      <c r="K12" s="15">
        <v>3</v>
      </c>
      <c r="L12" s="15">
        <f>IF(J12=1,E12,L11)</f>
        <v>4</v>
      </c>
      <c r="M12" s="246"/>
      <c r="N12" s="241"/>
      <c r="O12" s="243"/>
      <c r="P12" s="232"/>
      <c r="Q12" s="232"/>
      <c r="R12" s="232"/>
      <c r="S12" s="232"/>
      <c r="T12" s="232"/>
      <c r="U12" s="229"/>
    </row>
    <row r="13" spans="2:31" ht="74.7" customHeight="1" thickBot="1" x14ac:dyDescent="0.35">
      <c r="B13" s="238"/>
      <c r="C13" s="249"/>
      <c r="D13" s="255"/>
      <c r="E13" s="252"/>
      <c r="F13" s="105" t="str">
        <f t="shared" si="2"/>
        <v>d)</v>
      </c>
      <c r="G13" s="291"/>
      <c r="H13" s="138" t="s">
        <v>74</v>
      </c>
      <c r="I13" s="244"/>
      <c r="J13" s="77" t="str">
        <f t="shared" si="0"/>
        <v/>
      </c>
      <c r="K13" s="15">
        <v>4</v>
      </c>
      <c r="L13" s="15">
        <f>IF(J13=1,E13,L11)</f>
        <v>4</v>
      </c>
      <c r="M13" s="246" t="str">
        <f>IF(J13=1,IF(ISNA(MATCH(1,J14:J$35,0)),Endzeile-ROW(),MATCH(1,J14:J$35,0)),"")</f>
        <v/>
      </c>
      <c r="N13" s="241"/>
      <c r="O13" s="243"/>
      <c r="P13" s="232"/>
      <c r="Q13" s="232"/>
      <c r="R13" s="232"/>
      <c r="S13" s="232"/>
      <c r="T13" s="232"/>
      <c r="U13" s="229"/>
      <c r="V13" s="17"/>
      <c r="AA13" s="3"/>
      <c r="AB13" s="3"/>
      <c r="AC13" s="3"/>
      <c r="AD13" s="3"/>
      <c r="AE13" s="3"/>
    </row>
    <row r="14" spans="2:31" ht="70.95" customHeight="1" thickBot="1" x14ac:dyDescent="0.35">
      <c r="B14" s="239"/>
      <c r="C14" s="250"/>
      <c r="D14" s="256"/>
      <c r="E14" s="253"/>
      <c r="F14" s="106" t="str">
        <f t="shared" si="2"/>
        <v>e)</v>
      </c>
      <c r="G14" s="292"/>
      <c r="H14" s="139" t="s">
        <v>75</v>
      </c>
      <c r="I14" s="244"/>
      <c r="J14" s="78" t="str">
        <f t="shared" si="0"/>
        <v/>
      </c>
      <c r="K14" s="15">
        <f t="shared" si="1"/>
        <v>5</v>
      </c>
      <c r="L14" s="15">
        <f>IF(J14=1,E14,L13)</f>
        <v>4</v>
      </c>
      <c r="M14" s="247" t="str">
        <f>IF(J14=1,IF(ISNA(MATCH(1,J15:J$35,0)),Endzeile-ROW(),MATCH(1,J15:J$35,0)),"")</f>
        <v/>
      </c>
      <c r="N14" s="242"/>
      <c r="O14" s="243"/>
      <c r="P14" s="233"/>
      <c r="Q14" s="233"/>
      <c r="R14" s="233"/>
      <c r="S14" s="233"/>
      <c r="T14" s="233"/>
      <c r="U14" s="230"/>
      <c r="V14" s="17"/>
      <c r="AA14" s="3"/>
      <c r="AB14" s="3"/>
      <c r="AC14" s="3"/>
      <c r="AD14" s="3"/>
      <c r="AE14" s="3"/>
    </row>
    <row r="15" spans="2:31" ht="45" customHeight="1" thickBot="1" x14ac:dyDescent="0.35">
      <c r="B15" s="237" t="s">
        <v>98</v>
      </c>
      <c r="C15" s="248">
        <f>D15*INDEX(O15:U15,1,Typnummer_Arbeit)/100*Anz_Krit</f>
        <v>25.200000000000003</v>
      </c>
      <c r="D15" s="254">
        <f>((E15-1)*I15+G15)*N15</f>
        <v>12</v>
      </c>
      <c r="E15" s="251">
        <f>MATCH(LEFT(Beurteilung!C26,2),F15:F19,0)</f>
        <v>4</v>
      </c>
      <c r="F15" s="103" t="str">
        <f t="shared" si="2"/>
        <v>a)</v>
      </c>
      <c r="G15" s="290">
        <f>IF(Beurteilung!J26=Stufe_1,1,IF(Beurteilung!J26=Stufe_2,2,3))</f>
        <v>3</v>
      </c>
      <c r="H15" s="137" t="s">
        <v>76</v>
      </c>
      <c r="I15" s="244">
        <v>3</v>
      </c>
      <c r="J15" s="76">
        <f t="shared" si="0"/>
        <v>1</v>
      </c>
      <c r="K15" s="14">
        <f t="shared" si="1"/>
        <v>1</v>
      </c>
      <c r="L15" s="14">
        <f>IF(J15=1,E15,L14)</f>
        <v>4</v>
      </c>
      <c r="M15" s="245">
        <f>IF(J15=1,IF(ISNA(MATCH(1,J16:J$35,0)),Endzeile-ROW(),MATCH(1,J16:J$35,0)),"")</f>
        <v>5</v>
      </c>
      <c r="N15" s="240">
        <f>P_Krit/(I15*M15)</f>
        <v>1</v>
      </c>
      <c r="O15" s="243">
        <v>20</v>
      </c>
      <c r="P15" s="231">
        <v>20</v>
      </c>
      <c r="Q15" s="231">
        <v>25</v>
      </c>
      <c r="R15" s="231">
        <v>25</v>
      </c>
      <c r="S15" s="231">
        <v>30</v>
      </c>
      <c r="T15" s="231">
        <v>35</v>
      </c>
      <c r="U15" s="228">
        <v>35</v>
      </c>
      <c r="V15" s="17"/>
      <c r="AA15" s="3"/>
      <c r="AB15" s="3"/>
      <c r="AC15" s="3"/>
      <c r="AD15" s="3"/>
    </row>
    <row r="16" spans="2:31" ht="45" customHeight="1" thickBot="1" x14ac:dyDescent="0.35">
      <c r="B16" s="238"/>
      <c r="C16" s="249"/>
      <c r="D16" s="255"/>
      <c r="E16" s="252"/>
      <c r="F16" s="103" t="str">
        <f t="shared" si="2"/>
        <v>b)</v>
      </c>
      <c r="G16" s="291"/>
      <c r="H16" s="138" t="s">
        <v>77</v>
      </c>
      <c r="I16" s="244"/>
      <c r="J16" s="77" t="str">
        <f t="shared" si="0"/>
        <v/>
      </c>
      <c r="K16" s="15">
        <f t="shared" si="1"/>
        <v>2</v>
      </c>
      <c r="L16" s="15">
        <f>IF(J16=1,E16,L15)</f>
        <v>4</v>
      </c>
      <c r="M16" s="246" t="str">
        <f>IF(J16=1,IF(ISNA(MATCH(1,J18:J$35,0)),Endzeile-ROW(),MATCH(1,J18:J$35,0)),"")</f>
        <v/>
      </c>
      <c r="N16" s="241"/>
      <c r="O16" s="243"/>
      <c r="P16" s="232"/>
      <c r="Q16" s="232"/>
      <c r="R16" s="232"/>
      <c r="S16" s="232"/>
      <c r="T16" s="232"/>
      <c r="U16" s="229"/>
      <c r="V16" s="17"/>
    </row>
    <row r="17" spans="2:22" ht="45" customHeight="1" thickBot="1" x14ac:dyDescent="0.35">
      <c r="B17" s="238"/>
      <c r="C17" s="249"/>
      <c r="D17" s="255"/>
      <c r="E17" s="252"/>
      <c r="F17" s="103" t="str">
        <f t="shared" si="2"/>
        <v>c)</v>
      </c>
      <c r="G17" s="291"/>
      <c r="H17" s="138" t="s">
        <v>78</v>
      </c>
      <c r="I17" s="244"/>
      <c r="J17" s="77" t="str">
        <f t="shared" si="0"/>
        <v/>
      </c>
      <c r="K17" s="15">
        <v>3</v>
      </c>
      <c r="L17" s="15">
        <f>IF(J17=1,E17,L16)</f>
        <v>4</v>
      </c>
      <c r="M17" s="246"/>
      <c r="N17" s="241"/>
      <c r="O17" s="243"/>
      <c r="P17" s="232"/>
      <c r="Q17" s="232"/>
      <c r="R17" s="232"/>
      <c r="S17" s="232"/>
      <c r="T17" s="232"/>
      <c r="U17" s="229"/>
      <c r="V17" s="17"/>
    </row>
    <row r="18" spans="2:22" ht="45" customHeight="1" thickBot="1" x14ac:dyDescent="0.35">
      <c r="B18" s="238"/>
      <c r="C18" s="249"/>
      <c r="D18" s="255"/>
      <c r="E18" s="252"/>
      <c r="F18" s="103" t="str">
        <f t="shared" si="2"/>
        <v>d)</v>
      </c>
      <c r="G18" s="291"/>
      <c r="H18" s="138" t="s">
        <v>79</v>
      </c>
      <c r="I18" s="244"/>
      <c r="J18" s="77" t="str">
        <f t="shared" si="0"/>
        <v/>
      </c>
      <c r="K18" s="15">
        <v>4</v>
      </c>
      <c r="L18" s="15">
        <f>IF(J18=1,E18,L16)</f>
        <v>4</v>
      </c>
      <c r="M18" s="246" t="str">
        <f>IF(J18=1,IF(ISNA(MATCH(1,J19:J$35,0)),Endzeile-ROW(),MATCH(1,J19:J$35,0)),"")</f>
        <v/>
      </c>
      <c r="N18" s="241"/>
      <c r="O18" s="243"/>
      <c r="P18" s="232"/>
      <c r="Q18" s="232"/>
      <c r="R18" s="232"/>
      <c r="S18" s="232"/>
      <c r="T18" s="232"/>
      <c r="U18" s="229"/>
      <c r="V18" s="17"/>
    </row>
    <row r="19" spans="2:22" ht="45" customHeight="1" thickBot="1" x14ac:dyDescent="0.35">
      <c r="B19" s="239"/>
      <c r="C19" s="250"/>
      <c r="D19" s="256"/>
      <c r="E19" s="253"/>
      <c r="F19" s="103" t="str">
        <f t="shared" si="2"/>
        <v>e)</v>
      </c>
      <c r="G19" s="292"/>
      <c r="H19" s="140" t="s">
        <v>80</v>
      </c>
      <c r="I19" s="244"/>
      <c r="J19" s="78" t="str">
        <f t="shared" si="0"/>
        <v/>
      </c>
      <c r="K19" s="16">
        <v>5</v>
      </c>
      <c r="L19" s="16">
        <f>IF(J19=1,E19,L18)</f>
        <v>4</v>
      </c>
      <c r="M19" s="247" t="str">
        <f>IF(J19=1,IF(ISNA(MATCH(1,J20:J$35,0)),Endzeile-ROW(),MATCH(1,J20:J$35,0)),"")</f>
        <v/>
      </c>
      <c r="N19" s="242"/>
      <c r="O19" s="243"/>
      <c r="P19" s="233"/>
      <c r="Q19" s="233"/>
      <c r="R19" s="233"/>
      <c r="S19" s="233"/>
      <c r="T19" s="233"/>
      <c r="U19" s="230"/>
      <c r="V19" s="17"/>
    </row>
    <row r="20" spans="2:22" ht="45" customHeight="1" thickBot="1" x14ac:dyDescent="0.35">
      <c r="B20" s="237" t="s">
        <v>99</v>
      </c>
      <c r="C20" s="248">
        <f>D20*INDEX(O20:U20,1,Typnummer_Arbeit)/100*Anz_Krit</f>
        <v>21</v>
      </c>
      <c r="D20" s="254">
        <f>((E20-1)*I20+G20)*N20</f>
        <v>14</v>
      </c>
      <c r="E20" s="251">
        <f>MATCH(LEFT(Beurteilung!C29,2),F20:F24,0)</f>
        <v>5</v>
      </c>
      <c r="F20" s="104" t="str">
        <f t="shared" si="2"/>
        <v>a)</v>
      </c>
      <c r="G20" s="290">
        <f>IF(Beurteilung!J29=Stufe_1,1,IF(Beurteilung!J29=Stufe_2,2,3))</f>
        <v>2</v>
      </c>
      <c r="H20" s="141" t="s">
        <v>81</v>
      </c>
      <c r="I20" s="244">
        <v>3</v>
      </c>
      <c r="J20" s="76">
        <f t="shared" si="0"/>
        <v>1</v>
      </c>
      <c r="K20" s="15">
        <f t="shared" si="1"/>
        <v>1</v>
      </c>
      <c r="L20" s="15">
        <f>IF(J20=1,E20,L19)</f>
        <v>5</v>
      </c>
      <c r="M20" s="245">
        <f>IF(J20=1,IF(ISNA(MATCH(1,J21:J$35,0)),Endzeile-ROW(),MATCH(1,J21:J$35,0)),"")</f>
        <v>5</v>
      </c>
      <c r="N20" s="240">
        <f>P_Krit/(I20*M20)</f>
        <v>1</v>
      </c>
      <c r="O20" s="243">
        <v>15</v>
      </c>
      <c r="P20" s="231">
        <v>15</v>
      </c>
      <c r="Q20" s="231">
        <v>20</v>
      </c>
      <c r="R20" s="231">
        <v>20</v>
      </c>
      <c r="S20" s="231">
        <v>20</v>
      </c>
      <c r="T20" s="231">
        <v>25</v>
      </c>
      <c r="U20" s="228">
        <v>25</v>
      </c>
      <c r="V20" s="17"/>
    </row>
    <row r="21" spans="2:22" ht="45" customHeight="1" thickBot="1" x14ac:dyDescent="0.35">
      <c r="B21" s="238"/>
      <c r="C21" s="249"/>
      <c r="D21" s="255"/>
      <c r="E21" s="252"/>
      <c r="F21" s="105" t="str">
        <f t="shared" si="2"/>
        <v>b)</v>
      </c>
      <c r="G21" s="291"/>
      <c r="H21" s="138" t="s">
        <v>82</v>
      </c>
      <c r="I21" s="244"/>
      <c r="J21" s="77" t="str">
        <f t="shared" si="0"/>
        <v/>
      </c>
      <c r="K21" s="15">
        <f t="shared" si="1"/>
        <v>2</v>
      </c>
      <c r="L21" s="15">
        <f>IF(J21=1,E21,L20)</f>
        <v>5</v>
      </c>
      <c r="M21" s="246" t="str">
        <f>IF(J21=1,IF(ISNA(MATCH(1,J23:J$35,0)),Endzeile-ROW(),MATCH(1,J23:J$35,0)),"")</f>
        <v/>
      </c>
      <c r="N21" s="241"/>
      <c r="O21" s="243"/>
      <c r="P21" s="232"/>
      <c r="Q21" s="232"/>
      <c r="R21" s="232"/>
      <c r="S21" s="232"/>
      <c r="T21" s="232"/>
      <c r="U21" s="229"/>
      <c r="V21" s="17"/>
    </row>
    <row r="22" spans="2:22" ht="45" customHeight="1" thickBot="1" x14ac:dyDescent="0.35">
      <c r="B22" s="238"/>
      <c r="C22" s="249"/>
      <c r="D22" s="255"/>
      <c r="E22" s="252"/>
      <c r="F22" s="105" t="str">
        <f t="shared" si="2"/>
        <v>c)</v>
      </c>
      <c r="G22" s="291"/>
      <c r="H22" s="138" t="s">
        <v>83</v>
      </c>
      <c r="I22" s="244"/>
      <c r="J22" s="77" t="str">
        <f t="shared" si="0"/>
        <v/>
      </c>
      <c r="K22" s="15">
        <v>3</v>
      </c>
      <c r="L22" s="15">
        <f>IF(J22=1,E22,L21)</f>
        <v>5</v>
      </c>
      <c r="M22" s="246"/>
      <c r="N22" s="241"/>
      <c r="O22" s="243"/>
      <c r="P22" s="232"/>
      <c r="Q22" s="232"/>
      <c r="R22" s="232"/>
      <c r="S22" s="232"/>
      <c r="T22" s="232"/>
      <c r="U22" s="229"/>
      <c r="V22" s="17"/>
    </row>
    <row r="23" spans="2:22" ht="45" customHeight="1" thickBot="1" x14ac:dyDescent="0.35">
      <c r="B23" s="238"/>
      <c r="C23" s="249"/>
      <c r="D23" s="255"/>
      <c r="E23" s="252"/>
      <c r="F23" s="105" t="str">
        <f t="shared" si="2"/>
        <v>d)</v>
      </c>
      <c r="G23" s="291"/>
      <c r="H23" s="138" t="s">
        <v>84</v>
      </c>
      <c r="I23" s="244"/>
      <c r="J23" s="77" t="str">
        <f t="shared" si="0"/>
        <v/>
      </c>
      <c r="K23" s="15">
        <v>4</v>
      </c>
      <c r="L23" s="15">
        <f>IF(J23=1,E23,L21)</f>
        <v>5</v>
      </c>
      <c r="M23" s="246" t="str">
        <f>IF(J23=1,IF(ISNA(MATCH(1,J24:J$35,0)),Endzeile-ROW(),MATCH(1,J24:J$35,0)),"")</f>
        <v/>
      </c>
      <c r="N23" s="241"/>
      <c r="O23" s="243"/>
      <c r="P23" s="232"/>
      <c r="Q23" s="232"/>
      <c r="R23" s="232"/>
      <c r="S23" s="232"/>
      <c r="T23" s="232"/>
      <c r="U23" s="229"/>
      <c r="V23" s="17"/>
    </row>
    <row r="24" spans="2:22" ht="69" customHeight="1" thickBot="1" x14ac:dyDescent="0.35">
      <c r="B24" s="239"/>
      <c r="C24" s="250"/>
      <c r="D24" s="256"/>
      <c r="E24" s="253"/>
      <c r="F24" s="106" t="str">
        <f t="shared" si="2"/>
        <v>e)</v>
      </c>
      <c r="G24" s="292"/>
      <c r="H24" s="139" t="s">
        <v>85</v>
      </c>
      <c r="I24" s="244"/>
      <c r="J24" s="78" t="str">
        <f t="shared" si="0"/>
        <v/>
      </c>
      <c r="K24" s="15">
        <v>5</v>
      </c>
      <c r="L24" s="15">
        <f>IF(J24=1,E24,L23)</f>
        <v>5</v>
      </c>
      <c r="M24" s="247" t="str">
        <f>IF(J24=1,IF(ISNA(MATCH(1,J25:J$35,0)),Endzeile-ROW(),MATCH(1,J25:J$35,0)),"")</f>
        <v/>
      </c>
      <c r="N24" s="242"/>
      <c r="O24" s="243"/>
      <c r="P24" s="233"/>
      <c r="Q24" s="233"/>
      <c r="R24" s="233"/>
      <c r="S24" s="233"/>
      <c r="T24" s="233"/>
      <c r="U24" s="230"/>
      <c r="V24" s="17"/>
    </row>
    <row r="25" spans="2:22" ht="45" customHeight="1" thickBot="1" x14ac:dyDescent="0.35">
      <c r="B25" s="237" t="s">
        <v>100</v>
      </c>
      <c r="C25" s="248">
        <f>D25*INDEX(O25:U25,1,Typnummer_Arbeit)/100*Anz_Krit</f>
        <v>7.8000000000000007</v>
      </c>
      <c r="D25" s="254">
        <f>((E25-1)*I25+G25)*N25</f>
        <v>13</v>
      </c>
      <c r="E25" s="251">
        <f>MATCH(LEFT(Beurteilung!C32,2),F25:F29,0)</f>
        <v>5</v>
      </c>
      <c r="F25" s="103" t="str">
        <f t="shared" si="2"/>
        <v>a)</v>
      </c>
      <c r="G25" s="290">
        <f>IF(Beurteilung!J32=Stufe_1,1,IF(Beurteilung!J32=Stufe_2,2,3))</f>
        <v>1</v>
      </c>
      <c r="H25" s="137" t="s">
        <v>86</v>
      </c>
      <c r="I25" s="244">
        <v>3</v>
      </c>
      <c r="J25" s="76">
        <f t="shared" si="0"/>
        <v>1</v>
      </c>
      <c r="K25" s="14">
        <f t="shared" si="1"/>
        <v>1</v>
      </c>
      <c r="L25" s="14">
        <f>IF(J25=1,E25,L24)</f>
        <v>5</v>
      </c>
      <c r="M25" s="245">
        <f>IF(J25=1,IF(ISNA(MATCH(1,J26:J$35,0)),Endzeile-ROW(),MATCH(1,J26:J$35,0)),"")</f>
        <v>5</v>
      </c>
      <c r="N25" s="240">
        <f>P_Krit/(I25*M25)</f>
        <v>1</v>
      </c>
      <c r="O25" s="243">
        <v>20</v>
      </c>
      <c r="P25" s="231">
        <v>20</v>
      </c>
      <c r="Q25" s="231">
        <v>15</v>
      </c>
      <c r="R25" s="231">
        <v>15</v>
      </c>
      <c r="S25" s="231">
        <v>15</v>
      </c>
      <c r="T25" s="231">
        <v>10</v>
      </c>
      <c r="U25" s="228">
        <v>10</v>
      </c>
      <c r="V25" s="17"/>
    </row>
    <row r="26" spans="2:22" ht="45" customHeight="1" thickBot="1" x14ac:dyDescent="0.35">
      <c r="B26" s="238"/>
      <c r="C26" s="249"/>
      <c r="D26" s="255"/>
      <c r="E26" s="252"/>
      <c r="F26" s="103" t="str">
        <f t="shared" si="2"/>
        <v>b)</v>
      </c>
      <c r="G26" s="291"/>
      <c r="H26" s="138" t="s">
        <v>87</v>
      </c>
      <c r="I26" s="244"/>
      <c r="J26" s="77" t="str">
        <f t="shared" si="0"/>
        <v/>
      </c>
      <c r="K26" s="15">
        <f t="shared" si="1"/>
        <v>2</v>
      </c>
      <c r="L26" s="15">
        <f>IF(J26=1,E26,L25)</f>
        <v>5</v>
      </c>
      <c r="M26" s="246" t="str">
        <f>IF(J26=1,IF(ISNA(MATCH(1,J28:J$35,0)),Endzeile-ROW(),MATCH(1,J28:J$35,0)),"")</f>
        <v/>
      </c>
      <c r="N26" s="241"/>
      <c r="O26" s="243"/>
      <c r="P26" s="232"/>
      <c r="Q26" s="232"/>
      <c r="R26" s="232"/>
      <c r="S26" s="232"/>
      <c r="T26" s="232"/>
      <c r="U26" s="229"/>
      <c r="V26" s="17"/>
    </row>
    <row r="27" spans="2:22" ht="45" customHeight="1" thickBot="1" x14ac:dyDescent="0.35">
      <c r="B27" s="238"/>
      <c r="C27" s="249"/>
      <c r="D27" s="255"/>
      <c r="E27" s="252"/>
      <c r="F27" s="103" t="str">
        <f t="shared" si="2"/>
        <v>c)</v>
      </c>
      <c r="G27" s="291"/>
      <c r="H27" s="138" t="s">
        <v>88</v>
      </c>
      <c r="I27" s="244"/>
      <c r="J27" s="77" t="str">
        <f t="shared" si="0"/>
        <v/>
      </c>
      <c r="K27" s="15">
        <v>3</v>
      </c>
      <c r="L27" s="15">
        <f>IF(J27=1,E27,L26)</f>
        <v>5</v>
      </c>
      <c r="M27" s="246"/>
      <c r="N27" s="241"/>
      <c r="O27" s="243"/>
      <c r="P27" s="232"/>
      <c r="Q27" s="232"/>
      <c r="R27" s="232"/>
      <c r="S27" s="232"/>
      <c r="T27" s="232"/>
      <c r="U27" s="229"/>
      <c r="V27" s="17"/>
    </row>
    <row r="28" spans="2:22" ht="45" customHeight="1" thickBot="1" x14ac:dyDescent="0.35">
      <c r="B28" s="238"/>
      <c r="C28" s="249"/>
      <c r="D28" s="255"/>
      <c r="E28" s="252"/>
      <c r="F28" s="103" t="str">
        <f t="shared" si="2"/>
        <v>d)</v>
      </c>
      <c r="G28" s="291"/>
      <c r="H28" s="138" t="s">
        <v>89</v>
      </c>
      <c r="I28" s="244"/>
      <c r="J28" s="77" t="str">
        <f t="shared" si="0"/>
        <v/>
      </c>
      <c r="K28" s="15">
        <v>4</v>
      </c>
      <c r="L28" s="15">
        <f>IF(J28=1,E28,L26)</f>
        <v>5</v>
      </c>
      <c r="M28" s="246" t="str">
        <f>IF(J28=1,IF(ISNA(MATCH(1,J29:J$35,0)),Endzeile-ROW(),MATCH(1,J29:J$35,0)),"")</f>
        <v/>
      </c>
      <c r="N28" s="241"/>
      <c r="O28" s="243"/>
      <c r="P28" s="232"/>
      <c r="Q28" s="232"/>
      <c r="R28" s="232"/>
      <c r="S28" s="232"/>
      <c r="T28" s="232"/>
      <c r="U28" s="229"/>
      <c r="V28" s="17"/>
    </row>
    <row r="29" spans="2:22" ht="45" customHeight="1" thickBot="1" x14ac:dyDescent="0.35">
      <c r="B29" s="239"/>
      <c r="C29" s="250"/>
      <c r="D29" s="256"/>
      <c r="E29" s="253"/>
      <c r="F29" s="103" t="str">
        <f t="shared" si="2"/>
        <v>e)</v>
      </c>
      <c r="G29" s="292"/>
      <c r="H29" s="139" t="s">
        <v>90</v>
      </c>
      <c r="I29" s="244"/>
      <c r="J29" s="78" t="str">
        <f t="shared" si="0"/>
        <v/>
      </c>
      <c r="K29" s="16">
        <v>5</v>
      </c>
      <c r="L29" s="16">
        <f t="shared" ref="L29:L34" si="3">IF(J29=1,E29,L28)</f>
        <v>5</v>
      </c>
      <c r="M29" s="247" t="str">
        <f>IF(J29=1,IF(ISNA(MATCH(1,J30:J$35,0)),Endzeile-ROW(),MATCH(1,J30:J$35,0)),"")</f>
        <v/>
      </c>
      <c r="N29" s="242"/>
      <c r="O29" s="243"/>
      <c r="P29" s="233"/>
      <c r="Q29" s="233"/>
      <c r="R29" s="233"/>
      <c r="S29" s="233"/>
      <c r="T29" s="233"/>
      <c r="U29" s="230"/>
      <c r="V29" s="17"/>
    </row>
    <row r="30" spans="2:22" ht="45" customHeight="1" thickBot="1" x14ac:dyDescent="0.35">
      <c r="B30" s="237" t="s">
        <v>101</v>
      </c>
      <c r="C30" s="248">
        <f>D30*INDEX(O30:U30,1,Typnummer_Arbeit)/100*Anz_Krit</f>
        <v>7.1999999999999993</v>
      </c>
      <c r="D30" s="254">
        <f>((E30-1)*I30+G30)*N30</f>
        <v>12</v>
      </c>
      <c r="E30" s="251">
        <f>MATCH(LEFT(Beurteilung!C35,2),F30:F34,0)</f>
        <v>4</v>
      </c>
      <c r="F30" s="104" t="str">
        <f t="shared" si="2"/>
        <v>a)</v>
      </c>
      <c r="G30" s="290">
        <f>IF(Beurteilung!J35=Stufe_1,1,IF(Beurteilung!J35=Stufe_2,2,3))</f>
        <v>3</v>
      </c>
      <c r="H30" s="137" t="s">
        <v>91</v>
      </c>
      <c r="I30" s="244">
        <v>3</v>
      </c>
      <c r="J30" s="76">
        <f t="shared" si="0"/>
        <v>1</v>
      </c>
      <c r="K30" s="15">
        <f t="shared" si="1"/>
        <v>1</v>
      </c>
      <c r="L30" s="15">
        <f t="shared" si="3"/>
        <v>4</v>
      </c>
      <c r="M30" s="245">
        <f>IF(J30=1,IF(ISNA(MATCH(1,J31:J$35,0)),Endzeile-ROW(),MATCH(1,J31:J$35,0)),"")</f>
        <v>5</v>
      </c>
      <c r="N30" s="240">
        <f>P_Krit/(I30*M30)</f>
        <v>1</v>
      </c>
      <c r="O30" s="243">
        <v>10</v>
      </c>
      <c r="P30" s="231">
        <v>10</v>
      </c>
      <c r="Q30" s="231">
        <v>10</v>
      </c>
      <c r="R30" s="231">
        <v>10</v>
      </c>
      <c r="S30" s="231">
        <v>10</v>
      </c>
      <c r="T30" s="231">
        <v>10</v>
      </c>
      <c r="U30" s="228">
        <v>10</v>
      </c>
      <c r="V30" s="17"/>
    </row>
    <row r="31" spans="2:22" ht="45" customHeight="1" thickBot="1" x14ac:dyDescent="0.35">
      <c r="B31" s="238"/>
      <c r="C31" s="249"/>
      <c r="D31" s="255"/>
      <c r="E31" s="252"/>
      <c r="F31" s="105" t="str">
        <f t="shared" si="2"/>
        <v>b)</v>
      </c>
      <c r="G31" s="291"/>
      <c r="H31" s="138" t="s">
        <v>92</v>
      </c>
      <c r="I31" s="244"/>
      <c r="J31" s="77" t="str">
        <f t="shared" si="0"/>
        <v/>
      </c>
      <c r="K31" s="15">
        <f t="shared" si="1"/>
        <v>2</v>
      </c>
      <c r="L31" s="15">
        <f t="shared" si="3"/>
        <v>4</v>
      </c>
      <c r="M31" s="246" t="str">
        <f>IF(J31=1,IF(ISNA(MATCH(1,J33:J$35,0)),Endzeile-ROW(),MATCH(1,J33:J$35,0)),"")</f>
        <v/>
      </c>
      <c r="N31" s="241"/>
      <c r="O31" s="243"/>
      <c r="P31" s="232"/>
      <c r="Q31" s="232"/>
      <c r="R31" s="232"/>
      <c r="S31" s="232"/>
      <c r="T31" s="232"/>
      <c r="U31" s="229"/>
      <c r="V31" s="17"/>
    </row>
    <row r="32" spans="2:22" ht="45" customHeight="1" thickBot="1" x14ac:dyDescent="0.35">
      <c r="B32" s="238"/>
      <c r="C32" s="249"/>
      <c r="D32" s="255"/>
      <c r="E32" s="252"/>
      <c r="F32" s="105" t="str">
        <f t="shared" si="2"/>
        <v>c)</v>
      </c>
      <c r="G32" s="291"/>
      <c r="H32" s="138" t="s">
        <v>93</v>
      </c>
      <c r="I32" s="244"/>
      <c r="J32" s="77" t="str">
        <f t="shared" si="0"/>
        <v/>
      </c>
      <c r="K32" s="15">
        <v>3</v>
      </c>
      <c r="L32" s="15">
        <f t="shared" si="3"/>
        <v>4</v>
      </c>
      <c r="M32" s="246"/>
      <c r="N32" s="241"/>
      <c r="O32" s="243"/>
      <c r="P32" s="232"/>
      <c r="Q32" s="232"/>
      <c r="R32" s="232"/>
      <c r="S32" s="232"/>
      <c r="T32" s="232"/>
      <c r="U32" s="229"/>
      <c r="V32" s="17"/>
    </row>
    <row r="33" spans="2:23" ht="45" customHeight="1" thickBot="1" x14ac:dyDescent="0.35">
      <c r="B33" s="238"/>
      <c r="C33" s="249"/>
      <c r="D33" s="255"/>
      <c r="E33" s="252"/>
      <c r="F33" s="105" t="str">
        <f t="shared" si="2"/>
        <v>d)</v>
      </c>
      <c r="G33" s="291"/>
      <c r="H33" s="138" t="s">
        <v>94</v>
      </c>
      <c r="I33" s="244"/>
      <c r="J33" s="77" t="str">
        <f t="shared" si="0"/>
        <v/>
      </c>
      <c r="K33" s="15">
        <v>4</v>
      </c>
      <c r="L33" s="15">
        <f t="shared" si="3"/>
        <v>4</v>
      </c>
      <c r="M33" s="246" t="str">
        <f>IF(J33=1,IF(ISNA(MATCH(1,J34:J$35,0)),Endzeile-ROW(),MATCH(1,J34:J$35,0)),"")</f>
        <v/>
      </c>
      <c r="N33" s="241"/>
      <c r="O33" s="243"/>
      <c r="P33" s="232"/>
      <c r="Q33" s="232"/>
      <c r="R33" s="232"/>
      <c r="S33" s="232"/>
      <c r="T33" s="232"/>
      <c r="U33" s="229"/>
      <c r="V33" s="17"/>
    </row>
    <row r="34" spans="2:23" ht="45" customHeight="1" thickBot="1" x14ac:dyDescent="0.35">
      <c r="B34" s="239"/>
      <c r="C34" s="250"/>
      <c r="D34" s="256"/>
      <c r="E34" s="253"/>
      <c r="F34" s="106" t="str">
        <f t="shared" si="2"/>
        <v>e)</v>
      </c>
      <c r="G34" s="292"/>
      <c r="H34" s="139" t="s">
        <v>95</v>
      </c>
      <c r="I34" s="244"/>
      <c r="J34" s="78" t="str">
        <f t="shared" si="0"/>
        <v/>
      </c>
      <c r="K34" s="16">
        <v>5</v>
      </c>
      <c r="L34" s="15">
        <f t="shared" si="3"/>
        <v>4</v>
      </c>
      <c r="M34" s="247" t="str">
        <f>IF(J34=1,IF(ISNA(MATCH(1,J35:J$35,0)),Endzeile-ROW(),MATCH(1,J35:J$35,0)),"")</f>
        <v/>
      </c>
      <c r="N34" s="242"/>
      <c r="O34" s="243"/>
      <c r="P34" s="233"/>
      <c r="Q34" s="233"/>
      <c r="R34" s="233"/>
      <c r="S34" s="233"/>
      <c r="T34" s="233"/>
      <c r="U34" s="230"/>
      <c r="V34" s="17"/>
    </row>
    <row r="35" spans="2:23" ht="21" customHeight="1" thickBot="1" x14ac:dyDescent="0.35">
      <c r="B35" s="99" t="s">
        <v>107</v>
      </c>
      <c r="C35" s="98">
        <f>SUM(C5:C34)</f>
        <v>75</v>
      </c>
      <c r="D35" s="95"/>
      <c r="E35" s="95"/>
      <c r="F35" s="102"/>
      <c r="G35" s="95"/>
      <c r="H35" s="96" t="s">
        <v>24</v>
      </c>
      <c r="I35" s="95"/>
      <c r="J35" s="95"/>
      <c r="K35" s="95"/>
      <c r="L35" s="95"/>
      <c r="M35" s="95"/>
      <c r="N35" s="95"/>
      <c r="O35" s="6" t="s">
        <v>33</v>
      </c>
      <c r="P35" s="6" t="s">
        <v>33</v>
      </c>
      <c r="Q35" s="6" t="s">
        <v>33</v>
      </c>
      <c r="R35" s="6"/>
      <c r="S35" s="6"/>
      <c r="T35" s="6" t="s">
        <v>33</v>
      </c>
      <c r="U35" s="7" t="s">
        <v>33</v>
      </c>
    </row>
    <row r="38" spans="2:23" x14ac:dyDescent="0.3">
      <c r="O38" s="3">
        <f>SUM(O5:O34)</f>
        <v>100</v>
      </c>
      <c r="P38" s="114">
        <f t="shared" ref="P38:U38" si="4">SUM(P5:P34)</f>
        <v>100</v>
      </c>
      <c r="Q38" s="114">
        <f t="shared" si="4"/>
        <v>100</v>
      </c>
      <c r="R38" s="114">
        <f t="shared" si="4"/>
        <v>100</v>
      </c>
      <c r="S38" s="114">
        <f t="shared" si="4"/>
        <v>100</v>
      </c>
      <c r="T38" s="114">
        <f t="shared" si="4"/>
        <v>100</v>
      </c>
      <c r="U38" s="114">
        <f t="shared" si="4"/>
        <v>100</v>
      </c>
      <c r="W38" s="13"/>
    </row>
    <row r="40" spans="2:23" ht="46.95" customHeight="1" x14ac:dyDescent="0.3"/>
  </sheetData>
  <sheetProtection algorithmName="SHA-512" hashValue="KBD7EGw28Ng9YEwec4diRmEbYNpxUAsUpiFNeTT6u5CkuR6OfDbkTTWu+HxL+rVW9Pij2LTGq3z18ZVEZC3vjQ==" saltValue="DjGz7R2iImCRpzKO84ykog==" spinCount="100000" sheet="1" selectLockedCells="1"/>
  <mergeCells count="105">
    <mergeCell ref="D5:D9"/>
    <mergeCell ref="D10:D14"/>
    <mergeCell ref="D15:D19"/>
    <mergeCell ref="E30:E34"/>
    <mergeCell ref="G30:G34"/>
    <mergeCell ref="G5:G9"/>
    <mergeCell ref="E10:E14"/>
    <mergeCell ref="G10:G14"/>
    <mergeCell ref="E15:E19"/>
    <mergeCell ref="G15:G19"/>
    <mergeCell ref="E20:E24"/>
    <mergeCell ref="G20:G24"/>
    <mergeCell ref="E25:E29"/>
    <mergeCell ref="G25:G29"/>
    <mergeCell ref="O2:U2"/>
    <mergeCell ref="B2:B4"/>
    <mergeCell ref="C2:C4"/>
    <mergeCell ref="H2:H4"/>
    <mergeCell ref="I2:I4"/>
    <mergeCell ref="O4:U4"/>
    <mergeCell ref="J2:J4"/>
    <mergeCell ref="K2:K4"/>
    <mergeCell ref="L2:L4"/>
    <mergeCell ref="M2:M4"/>
    <mergeCell ref="N2:N4"/>
    <mergeCell ref="E2:E4"/>
    <mergeCell ref="G2:G4"/>
    <mergeCell ref="F2:F4"/>
    <mergeCell ref="D2:D4"/>
    <mergeCell ref="T20:T24"/>
    <mergeCell ref="U30:U34"/>
    <mergeCell ref="O25:O29"/>
    <mergeCell ref="U25:U29"/>
    <mergeCell ref="T25:T29"/>
    <mergeCell ref="O30:O34"/>
    <mergeCell ref="U20:U24"/>
    <mergeCell ref="P30:P34"/>
    <mergeCell ref="Q30:Q34"/>
    <mergeCell ref="T30:T34"/>
    <mergeCell ref="Q25:Q29"/>
    <mergeCell ref="P25:P29"/>
    <mergeCell ref="P20:P24"/>
    <mergeCell ref="O20:O24"/>
    <mergeCell ref="Q20:Q24"/>
    <mergeCell ref="R20:R24"/>
    <mergeCell ref="S20:S24"/>
    <mergeCell ref="R25:R29"/>
    <mergeCell ref="S25:S29"/>
    <mergeCell ref="R30:R34"/>
    <mergeCell ref="S30:S34"/>
    <mergeCell ref="C15:C19"/>
    <mergeCell ref="B30:B34"/>
    <mergeCell ref="B20:B24"/>
    <mergeCell ref="B25:B29"/>
    <mergeCell ref="N15:N19"/>
    <mergeCell ref="I20:I24"/>
    <mergeCell ref="M20:M24"/>
    <mergeCell ref="N20:N24"/>
    <mergeCell ref="M15:M19"/>
    <mergeCell ref="B15:B19"/>
    <mergeCell ref="N25:N29"/>
    <mergeCell ref="C20:C24"/>
    <mergeCell ref="C25:C29"/>
    <mergeCell ref="C30:C34"/>
    <mergeCell ref="M25:M29"/>
    <mergeCell ref="N30:N34"/>
    <mergeCell ref="I25:I29"/>
    <mergeCell ref="I30:I34"/>
    <mergeCell ref="M30:M34"/>
    <mergeCell ref="D20:D24"/>
    <mergeCell ref="D25:D29"/>
    <mergeCell ref="D30:D34"/>
    <mergeCell ref="Q15:Q19"/>
    <mergeCell ref="R5:R9"/>
    <mergeCell ref="S5:S9"/>
    <mergeCell ref="R10:R14"/>
    <mergeCell ref="S10:S14"/>
    <mergeCell ref="R15:R19"/>
    <mergeCell ref="S15:S19"/>
    <mergeCell ref="I15:I19"/>
    <mergeCell ref="O15:O19"/>
    <mergeCell ref="U15:U19"/>
    <mergeCell ref="P10:P14"/>
    <mergeCell ref="Q5:Q9"/>
    <mergeCell ref="B5:B9"/>
    <mergeCell ref="B10:B14"/>
    <mergeCell ref="N5:N9"/>
    <mergeCell ref="U5:U9"/>
    <mergeCell ref="T5:T9"/>
    <mergeCell ref="U10:U14"/>
    <mergeCell ref="O10:O14"/>
    <mergeCell ref="I5:I9"/>
    <mergeCell ref="O5:O9"/>
    <mergeCell ref="N10:N14"/>
    <mergeCell ref="M5:M9"/>
    <mergeCell ref="M10:M14"/>
    <mergeCell ref="C5:C9"/>
    <mergeCell ref="C10:C14"/>
    <mergeCell ref="I10:I14"/>
    <mergeCell ref="E5:E9"/>
    <mergeCell ref="P15:P19"/>
    <mergeCell ref="P5:P9"/>
    <mergeCell ref="T10:T14"/>
    <mergeCell ref="T15:T19"/>
    <mergeCell ref="Q10:Q14"/>
  </mergeCells>
  <conditionalFormatting sqref="O35:U35">
    <cfRule type="expression" dxfId="14" priority="12">
      <formula>SUM(O$5:O$34)&lt;&gt;100</formula>
    </cfRule>
  </conditionalFormatting>
  <conditionalFormatting sqref="H5:H24 H30:H34">
    <cfRule type="expression" dxfId="13" priority="13">
      <formula>$K5=$L5</formula>
    </cfRule>
  </conditionalFormatting>
  <conditionalFormatting sqref="H25:H29">
    <cfRule type="expression" dxfId="12" priority="33">
      <formula>$K25=$L25</formula>
    </cfRule>
  </conditionalFormatting>
  <pageMargins left="0.7" right="0.7" top="0.78740157499999996" bottom="0.78740157499999996" header="0.3" footer="0.3"/>
  <pageSetup paperSize="8" scale="63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D7323550-9984-438D-B9A1-92FD62134656}">
            <xm:f>COLUMN()-COLUMN($O$4)+1='Daten und Berechnung'!$K$8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m:sqref>O3:U3 O5:U34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B1:Q19"/>
  <sheetViews>
    <sheetView workbookViewId="0">
      <selection activeCell="K14" sqref="K14:L14"/>
    </sheetView>
  </sheetViews>
  <sheetFormatPr baseColWidth="10" defaultColWidth="11.5546875" defaultRowHeight="19.8" customHeight="1" x14ac:dyDescent="0.3"/>
  <cols>
    <col min="1" max="1" width="3.33203125" style="63" customWidth="1"/>
    <col min="2" max="2" width="40.109375" style="63" customWidth="1"/>
    <col min="3" max="3" width="9.44140625" style="63" customWidth="1"/>
    <col min="4" max="4" width="3.21875" style="63" customWidth="1"/>
    <col min="5" max="5" width="12.109375" style="63" customWidth="1"/>
    <col min="6" max="6" width="17.21875" style="63" customWidth="1"/>
    <col min="7" max="7" width="2.33203125" style="63" customWidth="1"/>
    <col min="8" max="8" width="20.77734375" style="63" customWidth="1"/>
    <col min="9" max="9" width="2" style="63" customWidth="1"/>
    <col min="10" max="10" width="20.6640625" style="63" bestFit="1" customWidth="1"/>
    <col min="11" max="11" width="5" style="63" customWidth="1"/>
    <col min="12" max="12" width="27.6640625" style="63" customWidth="1"/>
    <col min="13" max="13" width="4" style="63" customWidth="1"/>
    <col min="14" max="14" width="20.77734375" style="63" customWidth="1"/>
    <col min="15" max="15" width="5.33203125" style="63" bestFit="1" customWidth="1"/>
    <col min="16" max="16" width="3.88671875" style="63" customWidth="1"/>
    <col min="17" max="17" width="79.109375" style="63" bestFit="1" customWidth="1"/>
    <col min="18" max="16384" width="11.5546875" style="63"/>
  </cols>
  <sheetData>
    <row r="1" spans="2:17" ht="14.4" customHeight="1" thickBot="1" x14ac:dyDescent="0.35"/>
    <row r="2" spans="2:17" ht="36" customHeight="1" thickBot="1" x14ac:dyDescent="0.35">
      <c r="B2" s="299" t="s">
        <v>9</v>
      </c>
      <c r="C2" s="300"/>
      <c r="E2" s="299" t="s">
        <v>49</v>
      </c>
      <c r="F2" s="300"/>
      <c r="H2" s="64" t="s">
        <v>50</v>
      </c>
      <c r="J2" s="299" t="s">
        <v>47</v>
      </c>
      <c r="K2" s="305"/>
      <c r="L2" s="300"/>
      <c r="N2" s="303" t="s">
        <v>119</v>
      </c>
      <c r="O2" s="304"/>
      <c r="Q2" s="135" t="s">
        <v>64</v>
      </c>
    </row>
    <row r="3" spans="2:17" ht="19.8" customHeight="1" thickBot="1" x14ac:dyDescent="0.35">
      <c r="B3" s="65" t="s">
        <v>23</v>
      </c>
      <c r="C3" s="122">
        <f>P_max</f>
        <v>90</v>
      </c>
      <c r="E3" s="180">
        <v>0</v>
      </c>
      <c r="F3" s="89">
        <v>5</v>
      </c>
      <c r="H3" s="84" t="s">
        <v>56</v>
      </c>
      <c r="J3" s="66" t="s">
        <v>15</v>
      </c>
      <c r="K3" s="306" t="str">
        <f ca="1">MID(CELL("Dateiname"),FIND("[",CELL("Dateiname"))+1,FIND("]",CELL("Dateiname"))-FIND("[",CELL("Dateiname"))-1)</f>
        <v>Beurteilungsbogen SG-MB (v1.6).xlsx</v>
      </c>
      <c r="L3" s="307"/>
      <c r="N3" s="159" t="s">
        <v>120</v>
      </c>
      <c r="O3" s="160" t="s">
        <v>129</v>
      </c>
      <c r="Q3" s="136" t="s">
        <v>55</v>
      </c>
    </row>
    <row r="4" spans="2:17" ht="19.8" customHeight="1" thickBot="1" x14ac:dyDescent="0.35">
      <c r="B4" s="67" t="s">
        <v>46</v>
      </c>
      <c r="C4" s="173">
        <f>P_Summe</f>
        <v>75</v>
      </c>
      <c r="E4" s="180">
        <v>0.47499999999999998</v>
      </c>
      <c r="F4" s="89">
        <v>4</v>
      </c>
      <c r="H4" s="85" t="s">
        <v>54</v>
      </c>
      <c r="J4" s="68" t="s">
        <v>13</v>
      </c>
      <c r="K4" s="293">
        <f>Dateidatum</f>
        <v>44832</v>
      </c>
      <c r="L4" s="294"/>
      <c r="N4" s="142" t="s">
        <v>29</v>
      </c>
      <c r="O4" s="161">
        <v>1</v>
      </c>
      <c r="Q4" s="134" t="s">
        <v>65</v>
      </c>
    </row>
    <row r="5" spans="2:17" ht="19.8" customHeight="1" thickBot="1" x14ac:dyDescent="0.35">
      <c r="B5" s="67" t="s">
        <v>4</v>
      </c>
      <c r="C5" s="123">
        <f>C4/P_max</f>
        <v>0.83333333333333337</v>
      </c>
      <c r="E5" s="180">
        <v>0.52500000000000002</v>
      </c>
      <c r="F5" s="89">
        <v>3.7</v>
      </c>
      <c r="H5" s="86" t="s">
        <v>53</v>
      </c>
      <c r="J5" s="68" t="s">
        <v>128</v>
      </c>
      <c r="K5" s="176" t="str">
        <f ca="1">MID(CELL("Dateiname",$A$1),FIND("]",CELL("Dateiname",$A$1))+1,31)</f>
        <v>Daten und Berechnung</v>
      </c>
      <c r="L5" s="177"/>
      <c r="N5" s="143" t="s">
        <v>142</v>
      </c>
      <c r="O5" s="162">
        <v>1</v>
      </c>
    </row>
    <row r="6" spans="2:17" ht="19.8" customHeight="1" x14ac:dyDescent="0.3">
      <c r="B6" s="67" t="s">
        <v>43</v>
      </c>
      <c r="C6" s="124">
        <f>ROUNDUP(C4*2,0)/2</f>
        <v>75</v>
      </c>
      <c r="E6" s="180">
        <f>0.58+1/300</f>
        <v>0.58333333333333326</v>
      </c>
      <c r="F6" s="89">
        <v>3.3</v>
      </c>
      <c r="J6" s="68" t="s">
        <v>44</v>
      </c>
      <c r="K6" s="117">
        <f>COUNTIF('Texte und Punkte'!J:J,1)</f>
        <v>6</v>
      </c>
      <c r="L6" s="132"/>
      <c r="N6" s="143" t="s">
        <v>143</v>
      </c>
      <c r="O6" s="162">
        <v>1</v>
      </c>
    </row>
    <row r="7" spans="2:17" ht="19.8" customHeight="1" x14ac:dyDescent="0.3">
      <c r="B7" s="67" t="s">
        <v>102</v>
      </c>
      <c r="C7" s="123">
        <f>ROUNDUP(C5*200,0)/200</f>
        <v>0.83499999999999996</v>
      </c>
      <c r="E7" s="180">
        <f>0.64+1/600</f>
        <v>0.64166666666666672</v>
      </c>
      <c r="F7" s="89">
        <v>3</v>
      </c>
      <c r="J7" s="68" t="s">
        <v>35</v>
      </c>
      <c r="K7" s="301">
        <f>P_Krit*Anz_Krit</f>
        <v>90</v>
      </c>
      <c r="L7" s="302"/>
      <c r="N7" s="143" t="s">
        <v>126</v>
      </c>
      <c r="O7" s="162">
        <v>1</v>
      </c>
    </row>
    <row r="8" spans="2:17" ht="19.8" customHeight="1" x14ac:dyDescent="0.3">
      <c r="B8" s="113" t="s">
        <v>135</v>
      </c>
      <c r="C8" s="173">
        <f>IF(ROUNDDOWN(7-6*C4/C3,1)&lt;=4,IF(ROUNDDOWN(7-6*C4/C3,1)&gt;=1,ROUNDDOWN(7-6*C4/C3,1),1),5)</f>
        <v>2</v>
      </c>
      <c r="E8" s="180">
        <f>0.69+1/600</f>
        <v>0.69166666666666665</v>
      </c>
      <c r="F8" s="89">
        <v>2.7</v>
      </c>
      <c r="J8" s="68" t="s">
        <v>17</v>
      </c>
      <c r="K8" s="117">
        <f>MATCH(Typ_der_Arbeit,Liste_Arbeitstypen,0)</f>
        <v>7</v>
      </c>
      <c r="L8" s="70" t="str">
        <f>"( = " &amp; INDEX('Texte und Punkte'!O3:U3,,Typnummer_Arbeit) &amp; " )"</f>
        <v>( = Bachelorarbeit )</v>
      </c>
      <c r="N8" s="143" t="s">
        <v>144</v>
      </c>
      <c r="O8" s="162">
        <v>1</v>
      </c>
    </row>
    <row r="9" spans="2:17" ht="19.8" customHeight="1" x14ac:dyDescent="0.3">
      <c r="B9" s="113" t="s">
        <v>136</v>
      </c>
      <c r="C9" s="173">
        <f>VLOOKUP(P_proz,Liste_Notengrenzen,2)</f>
        <v>2</v>
      </c>
      <c r="E9" s="180">
        <v>0.75</v>
      </c>
      <c r="F9" s="89">
        <v>2.2999999999999998</v>
      </c>
      <c r="J9" s="68" t="s">
        <v>38</v>
      </c>
      <c r="K9" s="117">
        <f>ROW(Kriterien_Ende)</f>
        <v>35</v>
      </c>
      <c r="L9" s="132"/>
      <c r="N9" s="143" t="s">
        <v>10</v>
      </c>
      <c r="O9" s="162">
        <v>1</v>
      </c>
    </row>
    <row r="10" spans="2:17" ht="19.8" customHeight="1" thickBot="1" x14ac:dyDescent="0.35">
      <c r="B10" s="67" t="s">
        <v>137</v>
      </c>
      <c r="C10" s="178">
        <f>IF(Bewertungstyp=1,IF(Notenformel_037&lt;1,1,IF(Notenformel_037&gt;5,5,Notenformel_037)),IF(Notenformel_Dezimal&lt;1,1,IF(Notenformel_Dezimal&gt;5,5,Notenformel_Dezimal)))</f>
        <v>2</v>
      </c>
      <c r="E10" s="180">
        <f>0.808+1/3000</f>
        <v>0.80833333333333335</v>
      </c>
      <c r="F10" s="89">
        <v>2</v>
      </c>
      <c r="J10" s="100" t="s">
        <v>62</v>
      </c>
      <c r="K10" s="117">
        <f>MATCH(Notenformel_037,Notenliste,0)</f>
        <v>8</v>
      </c>
      <c r="L10" s="132"/>
      <c r="N10" s="144" t="s">
        <v>140</v>
      </c>
      <c r="O10" s="163">
        <v>0</v>
      </c>
    </row>
    <row r="11" spans="2:17" ht="19.8" customHeight="1" thickBot="1" x14ac:dyDescent="0.35">
      <c r="B11" s="67" t="s">
        <v>118</v>
      </c>
      <c r="C11" s="125">
        <f>INDEX(N14:O16,MATCH(Notenkorrektur,Korrektursymbole,0),2)</f>
        <v>0</v>
      </c>
      <c r="E11" s="180">
        <f>0.858+1/3000</f>
        <v>0.85833333333333328</v>
      </c>
      <c r="F11" s="89">
        <v>1.7</v>
      </c>
      <c r="J11" s="100" t="s">
        <v>132</v>
      </c>
      <c r="K11" s="171">
        <f>ROWS(Notenliste)</f>
        <v>12</v>
      </c>
      <c r="L11" s="172"/>
      <c r="N11" s="120"/>
      <c r="O11" s="120"/>
    </row>
    <row r="12" spans="2:17" ht="19.8" customHeight="1" thickBot="1" x14ac:dyDescent="0.35">
      <c r="B12" s="113" t="s">
        <v>130</v>
      </c>
      <c r="C12" s="173">
        <f>IF(Korr=Korr0,Notenformel_Dezimal,IF(Korr=Korr_p1,IF(Notenvorschlag+Korr_Dezimal&lt;=4,Notenvorschlag+Korr_Dezimal,5),IF(Notenvorschlag-Korr_Dezimal&gt;4,4,IF(Notenvorschlag-Korr_Dezimal&lt;1,1,Notenvorschlag-Korr_Dezimal))))</f>
        <v>2</v>
      </c>
      <c r="E12" s="180">
        <f>0.91+2/300</f>
        <v>0.91666666666666674</v>
      </c>
      <c r="F12" s="89">
        <v>1.3</v>
      </c>
      <c r="J12" s="121" t="s">
        <v>123</v>
      </c>
      <c r="K12" s="133">
        <f>IF(INDEX(Liste_035,Typnummer_Arbeit)=1,1,0)</f>
        <v>0</v>
      </c>
      <c r="L12" s="119"/>
      <c r="N12" s="299" t="s">
        <v>118</v>
      </c>
      <c r="O12" s="300"/>
    </row>
    <row r="13" spans="2:17" ht="19.8" customHeight="1" thickBot="1" x14ac:dyDescent="0.35">
      <c r="B13" s="113" t="s">
        <v>131</v>
      </c>
      <c r="C13" s="173">
        <f>IF(Korr=Korr0,Notenformel_037,IF(Korr=Korr_m1,IF(Notenzeile+1&lt;=Max_Notenzeilen,INDEX(Notenliste,Notenzeile+1),1),IF(Notenzeile-1&gt;=1,INDEX(Notenliste,Notenzeile-1),5)))</f>
        <v>2</v>
      </c>
      <c r="E13" s="181">
        <v>0.97499999999999998</v>
      </c>
      <c r="F13" s="170">
        <v>1</v>
      </c>
      <c r="J13" s="101" t="s">
        <v>110</v>
      </c>
      <c r="K13" s="297">
        <v>15</v>
      </c>
      <c r="L13" s="298"/>
      <c r="N13" s="121" t="s">
        <v>121</v>
      </c>
      <c r="O13" s="168">
        <v>0.3</v>
      </c>
    </row>
    <row r="14" spans="2:17" ht="19.8" customHeight="1" thickBot="1" x14ac:dyDescent="0.35">
      <c r="B14" s="69" t="s">
        <v>20</v>
      </c>
      <c r="C14" s="179">
        <f>IF(Bewertungstyp=1,C13,C12)</f>
        <v>2</v>
      </c>
      <c r="E14" s="182">
        <v>1</v>
      </c>
      <c r="F14" s="90">
        <v>1</v>
      </c>
      <c r="J14" s="167" t="s">
        <v>12</v>
      </c>
      <c r="K14" s="295" t="s">
        <v>152</v>
      </c>
      <c r="L14" s="296"/>
      <c r="N14" s="129" t="s">
        <v>19</v>
      </c>
      <c r="O14" s="164">
        <v>0</v>
      </c>
    </row>
    <row r="15" spans="2:17" ht="19.8" customHeight="1" x14ac:dyDescent="0.3">
      <c r="N15" s="130" t="s">
        <v>22</v>
      </c>
      <c r="O15" s="165">
        <v>-1</v>
      </c>
    </row>
    <row r="16" spans="2:17" ht="19.8" customHeight="1" thickBot="1" x14ac:dyDescent="0.35">
      <c r="N16" s="131" t="s">
        <v>21</v>
      </c>
      <c r="O16" s="166">
        <v>1</v>
      </c>
    </row>
    <row r="18" spans="2:10" ht="19.8" customHeight="1" x14ac:dyDescent="0.3">
      <c r="J18" s="10"/>
    </row>
    <row r="19" spans="2:10" ht="19.8" customHeight="1" x14ac:dyDescent="0.3">
      <c r="B19" s="169"/>
    </row>
  </sheetData>
  <sheetProtection algorithmName="SHA-512" hashValue="Z/rusKuxirFNyepGaHpTBKjrWXKSQZbcE6zEciZvlfsViBAbLkq1a7cbdaFsLIYQbfTwpiYGSBuaQ24fotbrUA==" saltValue="2OkhD/VnXlzqbNdjfsH+UA==" spinCount="100000" sheet="1" selectLockedCells="1"/>
  <customSheetViews>
    <customSheetView guid="{F624DE42-7366-4D05-A22F-FFE42B7DDA87}">
      <selection activeCell="C20" sqref="C20"/>
      <pageMargins left="0.7" right="0.7" top="0.78740157499999996" bottom="0.78740157499999996" header="0.3" footer="0.3"/>
    </customSheetView>
  </customSheetViews>
  <mergeCells count="10">
    <mergeCell ref="N2:O2"/>
    <mergeCell ref="E2:F2"/>
    <mergeCell ref="B2:C2"/>
    <mergeCell ref="J2:L2"/>
    <mergeCell ref="K3:L3"/>
    <mergeCell ref="K4:L4"/>
    <mergeCell ref="K14:L14"/>
    <mergeCell ref="K13:L13"/>
    <mergeCell ref="N12:O12"/>
    <mergeCell ref="K7:L7"/>
  </mergeCells>
  <conditionalFormatting sqref="N4:O10">
    <cfRule type="expression" dxfId="10" priority="3">
      <formula>ROW()-ROW(Tab_Bewertungstyp)-1=Typnummer_Arbeit</formula>
    </cfRule>
  </conditionalFormatting>
  <conditionalFormatting sqref="N14:O16">
    <cfRule type="expression" dxfId="9" priority="2">
      <formula>$O14=Korr</formula>
    </cfRule>
  </conditionalFormatting>
  <conditionalFormatting sqref="E3:F14">
    <cfRule type="expression" dxfId="8" priority="1">
      <formula>$F3=Notenformel_037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E6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29"/>
  <sheetViews>
    <sheetView workbookViewId="0">
      <selection activeCell="F19" sqref="F19"/>
    </sheetView>
  </sheetViews>
  <sheetFormatPr baseColWidth="10" defaultColWidth="11.5546875" defaultRowHeight="14.4" x14ac:dyDescent="0.3"/>
  <cols>
    <col min="1" max="1" width="2.44140625" style="79" customWidth="1"/>
    <col min="2" max="2" width="12.6640625" style="79" bestFit="1" customWidth="1"/>
    <col min="3" max="3" width="2.44140625" style="79" customWidth="1"/>
    <col min="4" max="4" width="11.5546875" style="79"/>
    <col min="5" max="5" width="11" style="79" bestFit="1" customWidth="1"/>
    <col min="6" max="6" width="15.33203125" style="83" bestFit="1" customWidth="1"/>
    <col min="7" max="7" width="140.33203125" style="79" customWidth="1"/>
    <col min="8" max="16384" width="11.5546875" style="79"/>
  </cols>
  <sheetData>
    <row r="2" spans="2:7" x14ac:dyDescent="0.3">
      <c r="D2" s="308" t="s">
        <v>59</v>
      </c>
      <c r="E2" s="308"/>
      <c r="F2" s="308"/>
      <c r="G2" s="308"/>
    </row>
    <row r="3" spans="2:7" ht="15" thickBot="1" x14ac:dyDescent="0.35"/>
    <row r="4" spans="2:7" s="82" customFormat="1" ht="29.4" thickBot="1" x14ac:dyDescent="0.35">
      <c r="B4" s="175" t="s">
        <v>134</v>
      </c>
      <c r="C4" s="118"/>
      <c r="D4" s="153" t="s">
        <v>26</v>
      </c>
      <c r="E4" s="154" t="s">
        <v>27</v>
      </c>
      <c r="F4" s="80" t="s">
        <v>31</v>
      </c>
      <c r="G4" s="81" t="s">
        <v>28</v>
      </c>
    </row>
    <row r="5" spans="2:7" s="118" customFormat="1" ht="15" thickBot="1" x14ac:dyDescent="0.35">
      <c r="B5" s="183">
        <v>44832</v>
      </c>
      <c r="D5" s="310"/>
      <c r="E5" s="311"/>
      <c r="F5" s="312"/>
      <c r="G5" s="191"/>
    </row>
    <row r="6" spans="2:7" s="118" customFormat="1" ht="28.8" x14ac:dyDescent="0.3">
      <c r="D6" s="313">
        <v>44832</v>
      </c>
      <c r="E6" s="157" t="s">
        <v>30</v>
      </c>
      <c r="F6" s="152" t="s">
        <v>152</v>
      </c>
      <c r="G6" s="309" t="s">
        <v>153</v>
      </c>
    </row>
    <row r="7" spans="2:7" s="118" customFormat="1" x14ac:dyDescent="0.3">
      <c r="D7" s="314">
        <v>44448</v>
      </c>
      <c r="E7" s="157" t="s">
        <v>30</v>
      </c>
      <c r="F7" s="152" t="s">
        <v>150</v>
      </c>
      <c r="G7" s="174" t="s">
        <v>151</v>
      </c>
    </row>
    <row r="8" spans="2:7" s="118" customFormat="1" x14ac:dyDescent="0.3">
      <c r="D8" s="314">
        <v>44088</v>
      </c>
      <c r="E8" s="157" t="s">
        <v>30</v>
      </c>
      <c r="F8" s="152" t="s">
        <v>141</v>
      </c>
      <c r="G8" s="174" t="s">
        <v>146</v>
      </c>
    </row>
    <row r="9" spans="2:7" s="82" customFormat="1" x14ac:dyDescent="0.3">
      <c r="B9" s="118"/>
      <c r="C9" s="118"/>
      <c r="D9" s="313">
        <v>43698</v>
      </c>
      <c r="E9" s="315" t="s">
        <v>30</v>
      </c>
      <c r="F9" s="152" t="s">
        <v>141</v>
      </c>
      <c r="G9" s="174" t="s">
        <v>145</v>
      </c>
    </row>
    <row r="10" spans="2:7" s="82" customFormat="1" x14ac:dyDescent="0.3">
      <c r="B10" s="118"/>
      <c r="C10" s="118"/>
      <c r="D10" s="313">
        <v>43399</v>
      </c>
      <c r="E10" s="315" t="s">
        <v>30</v>
      </c>
      <c r="F10" s="316" t="s">
        <v>138</v>
      </c>
      <c r="G10" s="188" t="s">
        <v>139</v>
      </c>
    </row>
    <row r="11" spans="2:7" s="82" customFormat="1" x14ac:dyDescent="0.3">
      <c r="B11" s="118"/>
      <c r="C11" s="118"/>
      <c r="D11" s="314">
        <v>43321</v>
      </c>
      <c r="E11" s="157" t="s">
        <v>30</v>
      </c>
      <c r="F11" s="152" t="s">
        <v>122</v>
      </c>
      <c r="G11" s="174" t="s">
        <v>133</v>
      </c>
    </row>
    <row r="12" spans="2:7" s="82" customFormat="1" x14ac:dyDescent="0.3">
      <c r="B12" s="118"/>
      <c r="C12" s="118"/>
      <c r="D12" s="317">
        <v>43293</v>
      </c>
      <c r="E12" s="318" t="s">
        <v>30</v>
      </c>
      <c r="F12" s="151" t="s">
        <v>122</v>
      </c>
      <c r="G12" s="150" t="s">
        <v>127</v>
      </c>
    </row>
    <row r="13" spans="2:7" s="82" customFormat="1" x14ac:dyDescent="0.3">
      <c r="B13" s="118"/>
      <c r="C13" s="118"/>
      <c r="D13" s="319">
        <v>43273</v>
      </c>
      <c r="E13" s="155" t="s">
        <v>30</v>
      </c>
      <c r="F13" s="151" t="s">
        <v>122</v>
      </c>
      <c r="G13" s="158" t="str">
        <f>"- Bewertung erneut geändert (Es ist nun für jeden Arbeitstyp in '" &amp;'Daten und Berechnung'!K7 &amp;"' anpassbar, ob im Dezimal- oder im 0-3-7-System bewertet wird.)"</f>
        <v>- Bewertung erneut geändert (Es ist nun für jeden Arbeitstyp in '90' anpassbar, ob im Dezimal- oder im 0-3-7-System bewertet wird.)</v>
      </c>
    </row>
    <row r="14" spans="2:7" s="82" customFormat="1" x14ac:dyDescent="0.3">
      <c r="B14" s="118"/>
      <c r="C14" s="118"/>
      <c r="D14" s="319">
        <v>43259</v>
      </c>
      <c r="E14" s="155" t="s">
        <v>30</v>
      </c>
      <c r="F14" s="151" t="s">
        <v>117</v>
      </c>
      <c r="G14" s="116" t="s">
        <v>125</v>
      </c>
    </row>
    <row r="15" spans="2:7" s="82" customFormat="1" x14ac:dyDescent="0.3">
      <c r="B15" s="118"/>
      <c r="C15" s="118"/>
      <c r="D15" s="319">
        <v>43165</v>
      </c>
      <c r="E15" s="155" t="s">
        <v>30</v>
      </c>
      <c r="F15" s="151" t="s">
        <v>14</v>
      </c>
      <c r="G15" s="97" t="s">
        <v>108</v>
      </c>
    </row>
    <row r="16" spans="2:7" s="82" customFormat="1" ht="43.2" x14ac:dyDescent="0.3">
      <c r="B16" s="118"/>
      <c r="C16" s="118"/>
      <c r="D16" s="320">
        <v>43157</v>
      </c>
      <c r="E16" s="156" t="s">
        <v>30</v>
      </c>
      <c r="F16" s="151" t="s">
        <v>14</v>
      </c>
      <c r="G16" s="91" t="s">
        <v>104</v>
      </c>
    </row>
    <row r="17" spans="4:7" x14ac:dyDescent="0.3">
      <c r="D17" s="314">
        <v>42975</v>
      </c>
      <c r="E17" s="157" t="s">
        <v>30</v>
      </c>
      <c r="F17" s="152" t="s">
        <v>14</v>
      </c>
      <c r="G17" s="92" t="s">
        <v>103</v>
      </c>
    </row>
    <row r="18" spans="4:7" x14ac:dyDescent="0.3">
      <c r="D18" s="314">
        <v>42971</v>
      </c>
      <c r="E18" s="157" t="s">
        <v>30</v>
      </c>
      <c r="F18" s="152" t="s">
        <v>14</v>
      </c>
      <c r="G18" s="93" t="s">
        <v>66</v>
      </c>
    </row>
    <row r="19" spans="4:7" x14ac:dyDescent="0.3">
      <c r="D19" s="320">
        <v>42942</v>
      </c>
      <c r="E19" s="156" t="s">
        <v>30</v>
      </c>
      <c r="F19" s="151" t="s">
        <v>14</v>
      </c>
      <c r="G19" s="94" t="s">
        <v>61</v>
      </c>
    </row>
    <row r="20" spans="4:7" x14ac:dyDescent="0.3">
      <c r="D20" s="320"/>
      <c r="E20" s="156"/>
      <c r="F20" s="151"/>
      <c r="G20" s="94" t="s">
        <v>63</v>
      </c>
    </row>
    <row r="21" spans="4:7" x14ac:dyDescent="0.3">
      <c r="D21" s="320"/>
      <c r="E21" s="156"/>
      <c r="F21" s="151"/>
      <c r="G21" s="94"/>
    </row>
    <row r="22" spans="4:7" x14ac:dyDescent="0.3">
      <c r="D22" s="314">
        <v>42930</v>
      </c>
      <c r="E22" s="157" t="s">
        <v>58</v>
      </c>
      <c r="F22" s="152" t="s">
        <v>14</v>
      </c>
      <c r="G22" s="92" t="s">
        <v>109</v>
      </c>
    </row>
    <row r="23" spans="4:7" x14ac:dyDescent="0.3">
      <c r="D23" s="314"/>
      <c r="E23" s="157"/>
      <c r="F23" s="152"/>
      <c r="G23" s="92" t="s">
        <v>51</v>
      </c>
    </row>
    <row r="24" spans="4:7" x14ac:dyDescent="0.3">
      <c r="D24" s="314"/>
      <c r="E24" s="157"/>
      <c r="F24" s="152"/>
      <c r="G24" s="92" t="s">
        <v>124</v>
      </c>
    </row>
    <row r="25" spans="4:7" x14ac:dyDescent="0.3">
      <c r="D25" s="314"/>
      <c r="E25" s="157"/>
      <c r="F25" s="152"/>
      <c r="G25" s="92" t="s">
        <v>106</v>
      </c>
    </row>
    <row r="26" spans="4:7" x14ac:dyDescent="0.3">
      <c r="D26" s="314"/>
      <c r="E26" s="157"/>
      <c r="F26" s="152"/>
      <c r="G26" s="92" t="s">
        <v>52</v>
      </c>
    </row>
    <row r="27" spans="4:7" x14ac:dyDescent="0.3">
      <c r="D27" s="314"/>
      <c r="E27" s="157"/>
      <c r="F27" s="152"/>
      <c r="G27" s="93"/>
    </row>
    <row r="28" spans="4:7" x14ac:dyDescent="0.3">
      <c r="D28" s="314">
        <v>42892</v>
      </c>
      <c r="E28" s="157" t="s">
        <v>30</v>
      </c>
      <c r="F28" s="152" t="s">
        <v>14</v>
      </c>
      <c r="G28" s="92" t="s">
        <v>41</v>
      </c>
    </row>
    <row r="29" spans="4:7" x14ac:dyDescent="0.3">
      <c r="D29" s="314"/>
      <c r="E29" s="157"/>
      <c r="F29" s="152"/>
      <c r="G29" s="92" t="s">
        <v>42</v>
      </c>
    </row>
  </sheetData>
  <sheetProtection insertRows="0"/>
  <mergeCells count="1">
    <mergeCell ref="D2:G2"/>
  </mergeCell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60</vt:i4>
      </vt:variant>
    </vt:vector>
  </HeadingPairs>
  <TitlesOfParts>
    <vt:vector size="64" baseType="lpstr">
      <vt:lpstr>Beurteilung</vt:lpstr>
      <vt:lpstr>Texte und Punkte</vt:lpstr>
      <vt:lpstr>Daten und Berechnung</vt:lpstr>
      <vt:lpstr>Versionshistorie</vt:lpstr>
      <vt:lpstr>Abstufung</vt:lpstr>
      <vt:lpstr>Anz_Krit</vt:lpstr>
      <vt:lpstr>Berechnung</vt:lpstr>
      <vt:lpstr>Beurteilung</vt:lpstr>
      <vt:lpstr>'Texte und Punkte'!Bewertungskriterium</vt:lpstr>
      <vt:lpstr>Bewertungstyp</vt:lpstr>
      <vt:lpstr>Copy</vt:lpstr>
      <vt:lpstr>Dateidatum</vt:lpstr>
      <vt:lpstr>Dateiname</vt:lpstr>
      <vt:lpstr>Dateiversion</vt:lpstr>
      <vt:lpstr>'Texte und Punkte'!Daten</vt:lpstr>
      <vt:lpstr>Beurteilung!Druckbereich</vt:lpstr>
      <vt:lpstr>'Texte und Punkte'!Druckbereich</vt:lpstr>
      <vt:lpstr>Endnote_Gutachten</vt:lpstr>
      <vt:lpstr>Endzeile</vt:lpstr>
      <vt:lpstr>Gutachter</vt:lpstr>
      <vt:lpstr>Korr</vt:lpstr>
      <vt:lpstr>Korr_Dezimal</vt:lpstr>
      <vt:lpstr>Korr_m1</vt:lpstr>
      <vt:lpstr>Korr_p1</vt:lpstr>
      <vt:lpstr>Korr0</vt:lpstr>
      <vt:lpstr>Korrektursymbole</vt:lpstr>
      <vt:lpstr>Kriterien</vt:lpstr>
      <vt:lpstr>Kriterien_Ende</vt:lpstr>
      <vt:lpstr>Kriterium1</vt:lpstr>
      <vt:lpstr>Kriterium2</vt:lpstr>
      <vt:lpstr>Kriterium3</vt:lpstr>
      <vt:lpstr>Kriterium4</vt:lpstr>
      <vt:lpstr>Kriterium5</vt:lpstr>
      <vt:lpstr>Kriterium6</vt:lpstr>
      <vt:lpstr>Kurs</vt:lpstr>
      <vt:lpstr>Liste_035</vt:lpstr>
      <vt:lpstr>Liste_Arbeitstypen</vt:lpstr>
      <vt:lpstr>Liste_Notengrenzen</vt:lpstr>
      <vt:lpstr>Matrikel</vt:lpstr>
      <vt:lpstr>Max_Notenzeilen</vt:lpstr>
      <vt:lpstr>Name</vt:lpstr>
      <vt:lpstr>Notenformel</vt:lpstr>
      <vt:lpstr>Notenformel_037</vt:lpstr>
      <vt:lpstr>Notenformel_Dezimal</vt:lpstr>
      <vt:lpstr>Notenkorrektur</vt:lpstr>
      <vt:lpstr>Notenliste</vt:lpstr>
      <vt:lpstr>Notenvorschlag</vt:lpstr>
      <vt:lpstr>Notenzeile</vt:lpstr>
      <vt:lpstr>P_akt</vt:lpstr>
      <vt:lpstr>P_Krit</vt:lpstr>
      <vt:lpstr>P_max</vt:lpstr>
      <vt:lpstr>P_proz</vt:lpstr>
      <vt:lpstr>P_Summe</vt:lpstr>
      <vt:lpstr>Sp_Wichtung</vt:lpstr>
      <vt:lpstr>Stufe_1</vt:lpstr>
      <vt:lpstr>Stufe_2</vt:lpstr>
      <vt:lpstr>Stufe_3</vt:lpstr>
      <vt:lpstr>Tab_Bewertungstyp</vt:lpstr>
      <vt:lpstr>Tab_Notengrenzen</vt:lpstr>
      <vt:lpstr>Tab_Notenkorrektur</vt:lpstr>
      <vt:lpstr>Titel</vt:lpstr>
      <vt:lpstr>Typ_der_Arbeit</vt:lpstr>
      <vt:lpstr>Typnummer_Arbeit</vt:lpstr>
      <vt:lpstr>Vorname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Beurteilungsbogen für schriftliche Arbeiten - StA Riesa/MB</dc:title>
  <dc:creator>Jens Franeck</dc:creator>
  <cp:lastModifiedBy>Jens Franeck</cp:lastModifiedBy>
  <cp:lastPrinted>2022-09-28T13:56:08Z</cp:lastPrinted>
  <dcterms:created xsi:type="dcterms:W3CDTF">2017-02-28T09:29:19Z</dcterms:created>
  <dcterms:modified xsi:type="dcterms:W3CDTF">2022-09-28T14:02:53Z</dcterms:modified>
</cp:coreProperties>
</file>